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CF\"/>
    </mc:Choice>
  </mc:AlternateContent>
  <xr:revisionPtr revIDLastSave="0" documentId="8_{C32CEAD7-8A47-4A66-9084-781219D3179E}" xr6:coauthVersionLast="47" xr6:coauthVersionMax="47" xr10:uidLastSave="{00000000-0000-0000-0000-000000000000}"/>
  <bookViews>
    <workbookView xWindow="-108" yWindow="-108" windowWidth="23256" windowHeight="12456" firstSheet="1" activeTab="1" xr2:uid="{00DC0972-E829-4FC0-B0FB-D16FD3C75444}"/>
  </bookViews>
  <sheets>
    <sheet name="INPUTS AND ASSUMPTIONS" sheetId="1" state="hidden" r:id="rId1"/>
    <sheet name="Cover Sheet" sheetId="8" r:id="rId2"/>
    <sheet name="Assumptions " sheetId="2" r:id="rId3"/>
    <sheet name="Company Financial Forecasts" sheetId="3" r:id="rId4"/>
    <sheet name="Financials" sheetId="5" r:id="rId5"/>
    <sheet name="DCF Input" sheetId="6" r:id="rId6"/>
    <sheet name="DCF Output" sheetId="11" r:id="rId7"/>
    <sheet name="Rough NOTES" sheetId="10" state="hidden" r:id="rId8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3" i="11" l="1"/>
  <c r="M66" i="6"/>
  <c r="D66" i="6"/>
  <c r="D114" i="11"/>
  <c r="E114" i="11"/>
  <c r="F114" i="11"/>
  <c r="G114" i="11"/>
  <c r="C114" i="11"/>
  <c r="B116" i="11"/>
  <c r="B117" i="11"/>
  <c r="B118" i="11"/>
  <c r="B119" i="11"/>
  <c r="B115" i="11"/>
  <c r="D106" i="11"/>
  <c r="M82" i="11"/>
  <c r="N82" i="11" s="1"/>
  <c r="K82" i="11"/>
  <c r="J82" i="11" s="1"/>
  <c r="D75" i="11"/>
  <c r="L94" i="11" s="1"/>
  <c r="D73" i="11"/>
  <c r="I85" i="11" s="1"/>
  <c r="D71" i="11"/>
  <c r="E82" i="11" s="1"/>
  <c r="M66" i="11"/>
  <c r="M67" i="11" s="1"/>
  <c r="D66" i="11"/>
  <c r="D67" i="11" s="1"/>
  <c r="D109" i="11" s="1"/>
  <c r="D64" i="11"/>
  <c r="M64" i="11" s="1"/>
  <c r="F52" i="11"/>
  <c r="G51" i="11"/>
  <c r="G52" i="11" s="1"/>
  <c r="J45" i="11"/>
  <c r="I45" i="11"/>
  <c r="I46" i="11" s="1"/>
  <c r="H45" i="11"/>
  <c r="G45" i="11"/>
  <c r="F45" i="11"/>
  <c r="E45" i="11"/>
  <c r="D45" i="11"/>
  <c r="C45" i="11"/>
  <c r="J41" i="11"/>
  <c r="J42" i="11" s="1"/>
  <c r="E41" i="11"/>
  <c r="D41" i="11"/>
  <c r="C41" i="11"/>
  <c r="G39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D32" i="11" s="1"/>
  <c r="D35" i="11" s="1"/>
  <c r="C33" i="11"/>
  <c r="J28" i="11"/>
  <c r="E28" i="11"/>
  <c r="E32" i="11" s="1"/>
  <c r="E35" i="11" s="1"/>
  <c r="D28" i="11"/>
  <c r="C28" i="11"/>
  <c r="I25" i="11"/>
  <c r="O24" i="11"/>
  <c r="O39" i="11" s="1"/>
  <c r="N24" i="11"/>
  <c r="M24" i="11"/>
  <c r="M39" i="11" s="1"/>
  <c r="L24" i="11"/>
  <c r="K24" i="11"/>
  <c r="K39" i="11" s="1"/>
  <c r="J24" i="11"/>
  <c r="I24" i="11"/>
  <c r="I39" i="11" s="1"/>
  <c r="H24" i="11"/>
  <c r="H39" i="11" s="1"/>
  <c r="G24" i="11"/>
  <c r="F24" i="11"/>
  <c r="F39" i="11" s="1"/>
  <c r="E24" i="11"/>
  <c r="E43" i="11" s="1"/>
  <c r="D24" i="11"/>
  <c r="D48" i="11" s="1"/>
  <c r="C24" i="11"/>
  <c r="J20" i="11"/>
  <c r="E20" i="11"/>
  <c r="D20" i="11"/>
  <c r="C20" i="11"/>
  <c r="D22" i="11" s="1"/>
  <c r="J17" i="11"/>
  <c r="I17" i="11"/>
  <c r="I18" i="11" s="1"/>
  <c r="H17" i="11"/>
  <c r="G17" i="11"/>
  <c r="F17" i="11"/>
  <c r="E17" i="11"/>
  <c r="E42" i="11" s="1"/>
  <c r="D17" i="11"/>
  <c r="D21" i="11" s="1"/>
  <c r="C17" i="11"/>
  <c r="D18" i="11" s="1"/>
  <c r="D5" i="11"/>
  <c r="D6" i="11" s="1"/>
  <c r="J94" i="6"/>
  <c r="K94" i="6"/>
  <c r="J95" i="6"/>
  <c r="K95" i="6"/>
  <c r="J96" i="6"/>
  <c r="K96" i="6"/>
  <c r="J97" i="6"/>
  <c r="K97" i="6"/>
  <c r="J98" i="6"/>
  <c r="K98" i="6"/>
  <c r="M94" i="6"/>
  <c r="N94" i="6"/>
  <c r="M95" i="6"/>
  <c r="N95" i="6"/>
  <c r="M96" i="6"/>
  <c r="N96" i="6"/>
  <c r="M97" i="6"/>
  <c r="N97" i="6"/>
  <c r="M98" i="6"/>
  <c r="N98" i="6"/>
  <c r="L97" i="6"/>
  <c r="L98" i="6"/>
  <c r="L94" i="6"/>
  <c r="L95" i="6"/>
  <c r="L96" i="6"/>
  <c r="L93" i="6"/>
  <c r="M93" i="6"/>
  <c r="N93" i="6" s="1"/>
  <c r="I97" i="6"/>
  <c r="I98" i="6" s="1"/>
  <c r="I96" i="6"/>
  <c r="I95" i="6"/>
  <c r="I94" i="6" s="1"/>
  <c r="F97" i="6"/>
  <c r="G97" i="6"/>
  <c r="F98" i="6"/>
  <c r="G98" i="6"/>
  <c r="F94" i="6"/>
  <c r="G94" i="6"/>
  <c r="F95" i="6"/>
  <c r="G95" i="6"/>
  <c r="C94" i="6"/>
  <c r="D94" i="6"/>
  <c r="C95" i="6"/>
  <c r="D95" i="6"/>
  <c r="C97" i="6"/>
  <c r="D97" i="6"/>
  <c r="C98" i="6"/>
  <c r="D98" i="6"/>
  <c r="C96" i="6"/>
  <c r="D96" i="6"/>
  <c r="G96" i="6"/>
  <c r="F96" i="6"/>
  <c r="E94" i="6"/>
  <c r="E95" i="6"/>
  <c r="E97" i="6"/>
  <c r="E98" i="6"/>
  <c r="E96" i="6"/>
  <c r="C93" i="6"/>
  <c r="D93" i="6"/>
  <c r="G93" i="6"/>
  <c r="F93" i="6"/>
  <c r="E93" i="6"/>
  <c r="B97" i="6"/>
  <c r="B98" i="6" s="1"/>
  <c r="B96" i="6"/>
  <c r="B95" i="6"/>
  <c r="B94" i="6" s="1"/>
  <c r="M81" i="6"/>
  <c r="N81" i="6" s="1"/>
  <c r="K81" i="6"/>
  <c r="J81" i="6"/>
  <c r="I85" i="6"/>
  <c r="I86" i="6" s="1"/>
  <c r="I84" i="6"/>
  <c r="I83" i="6"/>
  <c r="I82" i="6"/>
  <c r="F82" i="11" l="1"/>
  <c r="G82" i="11" s="1"/>
  <c r="D82" i="11"/>
  <c r="C82" i="11" s="1"/>
  <c r="H51" i="11"/>
  <c r="B97" i="11"/>
  <c r="B98" i="11" s="1"/>
  <c r="B99" i="11" s="1"/>
  <c r="D46" i="11"/>
  <c r="C25" i="11"/>
  <c r="C43" i="11"/>
  <c r="D43" i="11"/>
  <c r="H46" i="11"/>
  <c r="J46" i="11"/>
  <c r="J25" i="11"/>
  <c r="E30" i="11"/>
  <c r="D108" i="11"/>
  <c r="C46" i="11"/>
  <c r="F46" i="11"/>
  <c r="D25" i="11"/>
  <c r="G18" i="11"/>
  <c r="D29" i="11"/>
  <c r="E48" i="11"/>
  <c r="J32" i="11"/>
  <c r="J35" i="11" s="1"/>
  <c r="J36" i="11" s="1"/>
  <c r="E21" i="11"/>
  <c r="G46" i="11"/>
  <c r="B96" i="11"/>
  <c r="B95" i="11" s="1"/>
  <c r="I97" i="11"/>
  <c r="M94" i="11"/>
  <c r="N94" i="11" s="1"/>
  <c r="K94" i="11"/>
  <c r="J94" i="11" s="1"/>
  <c r="E37" i="11"/>
  <c r="E36" i="11"/>
  <c r="D36" i="11"/>
  <c r="I86" i="11"/>
  <c r="I87" i="11" s="1"/>
  <c r="I84" i="11"/>
  <c r="I83" i="11" s="1"/>
  <c r="H18" i="11"/>
  <c r="E22" i="11"/>
  <c r="C48" i="11"/>
  <c r="J18" i="11"/>
  <c r="E25" i="11"/>
  <c r="C29" i="11"/>
  <c r="B85" i="11"/>
  <c r="E46" i="11"/>
  <c r="F25" i="11"/>
  <c r="C30" i="11"/>
  <c r="L39" i="11"/>
  <c r="G25" i="11"/>
  <c r="E29" i="11"/>
  <c r="D30" i="11"/>
  <c r="C32" i="11"/>
  <c r="C35" i="11" s="1"/>
  <c r="J43" i="11"/>
  <c r="E94" i="11"/>
  <c r="E95" i="11" s="1"/>
  <c r="L95" i="11" s="1"/>
  <c r="J39" i="11"/>
  <c r="J21" i="11"/>
  <c r="H25" i="11"/>
  <c r="N39" i="11"/>
  <c r="C18" i="11"/>
  <c r="J48" i="11"/>
  <c r="C42" i="11"/>
  <c r="E18" i="11"/>
  <c r="C21" i="11"/>
  <c r="J29" i="11"/>
  <c r="D42" i="11"/>
  <c r="F18" i="11"/>
  <c r="C22" i="11"/>
  <c r="K93" i="6"/>
  <c r="J93" i="6" s="1"/>
  <c r="I51" i="11" l="1"/>
  <c r="H52" i="11"/>
  <c r="I98" i="11"/>
  <c r="I99" i="11" s="1"/>
  <c r="I96" i="11"/>
  <c r="I95" i="11" s="1"/>
  <c r="C37" i="11"/>
  <c r="C36" i="11"/>
  <c r="D37" i="11"/>
  <c r="E97" i="11"/>
  <c r="L97" i="11" s="1"/>
  <c r="B86" i="11"/>
  <c r="B87" i="11" s="1"/>
  <c r="B84" i="11"/>
  <c r="B83" i="11" s="1"/>
  <c r="J49" i="11"/>
  <c r="J50" i="11" s="1"/>
  <c r="E96" i="11"/>
  <c r="L96" i="11" s="1"/>
  <c r="F94" i="11"/>
  <c r="D94" i="11"/>
  <c r="E99" i="11"/>
  <c r="L99" i="11" s="1"/>
  <c r="E98" i="11"/>
  <c r="L98" i="11" s="1"/>
  <c r="G81" i="6"/>
  <c r="F81" i="6"/>
  <c r="C81" i="6"/>
  <c r="D81" i="6"/>
  <c r="E81" i="6"/>
  <c r="B85" i="6"/>
  <c r="B86" i="6" s="1"/>
  <c r="B83" i="6"/>
  <c r="B82" i="6" s="1"/>
  <c r="B84" i="6"/>
  <c r="D74" i="6"/>
  <c r="D72" i="6"/>
  <c r="D70" i="6"/>
  <c r="J51" i="11" l="1"/>
  <c r="I52" i="11"/>
  <c r="G94" i="11"/>
  <c r="F99" i="11"/>
  <c r="M99" i="11" s="1"/>
  <c r="F95" i="11"/>
  <c r="M95" i="11" s="1"/>
  <c r="F96" i="11"/>
  <c r="M96" i="11" s="1"/>
  <c r="F97" i="11"/>
  <c r="M97" i="11" s="1"/>
  <c r="F98" i="11"/>
  <c r="M98" i="11" s="1"/>
  <c r="C94" i="11"/>
  <c r="D95" i="11"/>
  <c r="K95" i="11" s="1"/>
  <c r="D96" i="11"/>
  <c r="K96" i="11" s="1"/>
  <c r="D98" i="11"/>
  <c r="K98" i="11" s="1"/>
  <c r="D99" i="11"/>
  <c r="K99" i="11" s="1"/>
  <c r="D97" i="11"/>
  <c r="K97" i="11" s="1"/>
  <c r="M65" i="6"/>
  <c r="M63" i="6"/>
  <c r="J52" i="11" l="1"/>
  <c r="K51" i="11"/>
  <c r="C99" i="11"/>
  <c r="J99" i="11" s="1"/>
  <c r="C98" i="11"/>
  <c r="J98" i="11" s="1"/>
  <c r="C97" i="11"/>
  <c r="J97" i="11" s="1"/>
  <c r="C96" i="11"/>
  <c r="J96" i="11" s="1"/>
  <c r="C95" i="11"/>
  <c r="J95" i="11" s="1"/>
  <c r="G95" i="11"/>
  <c r="N95" i="11" s="1"/>
  <c r="G97" i="11"/>
  <c r="N97" i="11" s="1"/>
  <c r="G96" i="11"/>
  <c r="N96" i="11" s="1"/>
  <c r="G98" i="11"/>
  <c r="N98" i="11" s="1"/>
  <c r="G99" i="11"/>
  <c r="N99" i="11" s="1"/>
  <c r="D65" i="6"/>
  <c r="D63" i="6"/>
  <c r="F52" i="6"/>
  <c r="K52" i="11" l="1"/>
  <c r="L51" i="11"/>
  <c r="G51" i="6"/>
  <c r="D45" i="6"/>
  <c r="E45" i="6"/>
  <c r="E46" i="6" s="1"/>
  <c r="F45" i="6"/>
  <c r="G45" i="6"/>
  <c r="H45" i="6"/>
  <c r="I45" i="6"/>
  <c r="J45" i="6"/>
  <c r="J46" i="6" s="1"/>
  <c r="C45" i="6"/>
  <c r="D41" i="6"/>
  <c r="D43" i="6" s="1"/>
  <c r="E41" i="6"/>
  <c r="E42" i="6" s="1"/>
  <c r="J41" i="6"/>
  <c r="C41" i="6"/>
  <c r="D33" i="6"/>
  <c r="E33" i="6"/>
  <c r="F33" i="6"/>
  <c r="G33" i="6"/>
  <c r="H33" i="6"/>
  <c r="I33" i="6"/>
  <c r="J33" i="6"/>
  <c r="K33" i="6"/>
  <c r="L33" i="6"/>
  <c r="M33" i="6"/>
  <c r="N33" i="6"/>
  <c r="O33" i="6"/>
  <c r="C33" i="6"/>
  <c r="D28" i="6"/>
  <c r="E28" i="6"/>
  <c r="J28" i="6"/>
  <c r="C28" i="6"/>
  <c r="D30" i="6" s="1"/>
  <c r="D24" i="6"/>
  <c r="D25" i="6" s="1"/>
  <c r="E24" i="6"/>
  <c r="E25" i="6" s="1"/>
  <c r="F24" i="6"/>
  <c r="F39" i="6" s="1"/>
  <c r="G24" i="6"/>
  <c r="G39" i="6" s="1"/>
  <c r="H24" i="6"/>
  <c r="I24" i="6"/>
  <c r="J24" i="6"/>
  <c r="J39" i="6" s="1"/>
  <c r="K24" i="6"/>
  <c r="K39" i="6" s="1"/>
  <c r="L24" i="6"/>
  <c r="L39" i="6" s="1"/>
  <c r="M24" i="6"/>
  <c r="M39" i="6" s="1"/>
  <c r="N24" i="6"/>
  <c r="N39" i="6" s="1"/>
  <c r="O24" i="6"/>
  <c r="O39" i="6" s="1"/>
  <c r="C24" i="6"/>
  <c r="D20" i="6"/>
  <c r="E20" i="6"/>
  <c r="E21" i="6" s="1"/>
  <c r="J20" i="6"/>
  <c r="C20" i="6"/>
  <c r="C22" i="6" s="1"/>
  <c r="D17" i="6"/>
  <c r="E17" i="6"/>
  <c r="E29" i="6" s="1"/>
  <c r="F17" i="6"/>
  <c r="F18" i="6" s="1"/>
  <c r="G17" i="6"/>
  <c r="G18" i="6" s="1"/>
  <c r="H17" i="6"/>
  <c r="I17" i="6"/>
  <c r="I18" i="6" s="1"/>
  <c r="J17" i="6"/>
  <c r="C17" i="6"/>
  <c r="C18" i="6" s="1"/>
  <c r="D5" i="6"/>
  <c r="D6" i="6" s="1"/>
  <c r="M51" i="11" l="1"/>
  <c r="L52" i="11"/>
  <c r="E22" i="6"/>
  <c r="I46" i="6"/>
  <c r="H46" i="6"/>
  <c r="G46" i="6"/>
  <c r="D18" i="6"/>
  <c r="F46" i="6"/>
  <c r="D46" i="6"/>
  <c r="F25" i="6"/>
  <c r="J21" i="6"/>
  <c r="C42" i="6"/>
  <c r="G25" i="6"/>
  <c r="C32" i="6"/>
  <c r="C35" i="6" s="1"/>
  <c r="C46" i="6"/>
  <c r="H18" i="6"/>
  <c r="C21" i="6"/>
  <c r="J48" i="6"/>
  <c r="J49" i="6" s="1"/>
  <c r="J50" i="6" s="1"/>
  <c r="C43" i="6"/>
  <c r="E48" i="6"/>
  <c r="E43" i="6"/>
  <c r="J42" i="6"/>
  <c r="D22" i="6"/>
  <c r="D42" i="6"/>
  <c r="I25" i="6"/>
  <c r="H25" i="6"/>
  <c r="J18" i="6"/>
  <c r="D21" i="6"/>
  <c r="C30" i="6"/>
  <c r="C25" i="6"/>
  <c r="E30" i="6"/>
  <c r="H51" i="6"/>
  <c r="G52" i="6"/>
  <c r="J43" i="6"/>
  <c r="J32" i="6"/>
  <c r="J35" i="6" s="1"/>
  <c r="J36" i="6" s="1"/>
  <c r="E18" i="6"/>
  <c r="E32" i="6"/>
  <c r="E35" i="6" s="1"/>
  <c r="D48" i="6"/>
  <c r="H39" i="6"/>
  <c r="D32" i="6"/>
  <c r="D35" i="6" s="1"/>
  <c r="I39" i="6"/>
  <c r="C29" i="6"/>
  <c r="J25" i="6"/>
  <c r="J29" i="6"/>
  <c r="C48" i="6"/>
  <c r="D29" i="6"/>
  <c r="G35" i="5"/>
  <c r="H33" i="5"/>
  <c r="H34" i="5" s="1"/>
  <c r="L11" i="10"/>
  <c r="K11" i="10"/>
  <c r="J11" i="10"/>
  <c r="K10" i="10"/>
  <c r="L10" i="10"/>
  <c r="J10" i="10"/>
  <c r="I23" i="10"/>
  <c r="J23" i="10"/>
  <c r="I22" i="10"/>
  <c r="J22" i="10"/>
  <c r="I18" i="10"/>
  <c r="J18" i="10"/>
  <c r="H22" i="10"/>
  <c r="H18" i="10"/>
  <c r="H23" i="10" s="1"/>
  <c r="H4" i="10"/>
  <c r="I4" i="10"/>
  <c r="G4" i="10"/>
  <c r="H35" i="5"/>
  <c r="I35" i="5"/>
  <c r="J35" i="5"/>
  <c r="K35" i="5"/>
  <c r="L35" i="5"/>
  <c r="M35" i="5"/>
  <c r="F35" i="5"/>
  <c r="G34" i="5"/>
  <c r="J34" i="5"/>
  <c r="K34" i="5"/>
  <c r="L34" i="5"/>
  <c r="M34" i="5"/>
  <c r="I34" i="5"/>
  <c r="I33" i="5"/>
  <c r="J33" i="5"/>
  <c r="K33" i="5"/>
  <c r="L33" i="5"/>
  <c r="M33" i="5"/>
  <c r="G32" i="5"/>
  <c r="F32" i="5"/>
  <c r="G30" i="5" a="1"/>
  <c r="G30" i="5" s="1"/>
  <c r="G22" i="5"/>
  <c r="G20" i="5"/>
  <c r="G21" i="5" s="1"/>
  <c r="F20" i="5"/>
  <c r="F22" i="5" s="1"/>
  <c r="M10" i="5"/>
  <c r="M12" i="5" s="1"/>
  <c r="J7" i="5"/>
  <c r="K7" i="5"/>
  <c r="L7" i="5"/>
  <c r="M7" i="5"/>
  <c r="I7" i="5"/>
  <c r="G18" i="5"/>
  <c r="F18" i="5"/>
  <c r="G15" i="5"/>
  <c r="F15" i="5"/>
  <c r="M52" i="11" l="1"/>
  <c r="N51" i="11"/>
  <c r="I51" i="6"/>
  <c r="H52" i="6"/>
  <c r="E37" i="6"/>
  <c r="E36" i="6"/>
  <c r="D37" i="6"/>
  <c r="D36" i="6"/>
  <c r="C36" i="6"/>
  <c r="C37" i="6"/>
  <c r="G17" i="5"/>
  <c r="E14" i="10"/>
  <c r="D14" i="10"/>
  <c r="E13" i="10"/>
  <c r="D13" i="10"/>
  <c r="E12" i="10"/>
  <c r="D12" i="10"/>
  <c r="E11" i="10"/>
  <c r="D11" i="10"/>
  <c r="E6" i="10"/>
  <c r="D6" i="10"/>
  <c r="E5" i="10"/>
  <c r="D5" i="10"/>
  <c r="E4" i="10"/>
  <c r="D4" i="10"/>
  <c r="G1" i="3"/>
  <c r="O13" i="3"/>
  <c r="O12" i="3"/>
  <c r="O11" i="3"/>
  <c r="O10" i="3"/>
  <c r="N13" i="3"/>
  <c r="N12" i="3"/>
  <c r="N11" i="3"/>
  <c r="N10" i="3"/>
  <c r="G8" i="5"/>
  <c r="F31" i="5"/>
  <c r="G31" i="5"/>
  <c r="H29" i="5"/>
  <c r="H30" i="5" s="1" a="1"/>
  <c r="H30" i="5" s="1"/>
  <c r="G11" i="5"/>
  <c r="O14" i="5"/>
  <c r="P14" i="5"/>
  <c r="Q14" i="5"/>
  <c r="R14" i="5"/>
  <c r="G14" i="5"/>
  <c r="N52" i="11" l="1"/>
  <c r="O51" i="11"/>
  <c r="O52" i="11" s="1"/>
  <c r="J51" i="6"/>
  <c r="I52" i="6"/>
  <c r="I13" i="5"/>
  <c r="J13" i="5"/>
  <c r="K13" i="5"/>
  <c r="L13" i="5"/>
  <c r="M13" i="5"/>
  <c r="H13" i="5"/>
  <c r="H6" i="5"/>
  <c r="H8" i="5" s="1"/>
  <c r="J19" i="3"/>
  <c r="R24" i="3"/>
  <c r="P25" i="3"/>
  <c r="Q25" i="3"/>
  <c r="O25" i="3"/>
  <c r="F21" i="3"/>
  <c r="G21" i="3" s="1"/>
  <c r="H21" i="3" s="1"/>
  <c r="I21" i="3" s="1"/>
  <c r="J21" i="3" s="1"/>
  <c r="E24" i="3"/>
  <c r="E19" i="3"/>
  <c r="F25" i="3"/>
  <c r="F26" i="3"/>
  <c r="M38" i="3"/>
  <c r="M34" i="3"/>
  <c r="M25" i="3"/>
  <c r="M21" i="3"/>
  <c r="F12" i="3"/>
  <c r="G12" i="3" s="1"/>
  <c r="F9" i="3"/>
  <c r="G9" i="3" s="1"/>
  <c r="H9" i="3" s="1"/>
  <c r="I9" i="3" s="1"/>
  <c r="J9" i="3" s="1"/>
  <c r="K51" i="6" l="1"/>
  <c r="J52" i="6"/>
  <c r="H14" i="5"/>
  <c r="H15" i="5"/>
  <c r="K14" i="5"/>
  <c r="J14" i="5"/>
  <c r="L14" i="5"/>
  <c r="M14" i="5"/>
  <c r="N14" i="5"/>
  <c r="I14" i="5"/>
  <c r="H31" i="5"/>
  <c r="M26" i="3"/>
  <c r="O17" i="3" s="1"/>
  <c r="E22" i="3" s="1"/>
  <c r="R25" i="3"/>
  <c r="S25" i="3" s="1"/>
  <c r="F24" i="3"/>
  <c r="G24" i="3" s="1"/>
  <c r="H24" i="3" s="1"/>
  <c r="I24" i="3" s="1"/>
  <c r="J24" i="3" s="1"/>
  <c r="F15" i="3"/>
  <c r="H12" i="3"/>
  <c r="G15" i="3"/>
  <c r="M39" i="3"/>
  <c r="O16" i="3" s="1"/>
  <c r="L51" i="6" l="1"/>
  <c r="K52" i="6"/>
  <c r="O18" i="3"/>
  <c r="I12" i="3"/>
  <c r="H15" i="3"/>
  <c r="M51" i="6" l="1"/>
  <c r="L52" i="6"/>
  <c r="J12" i="3"/>
  <c r="J15" i="3" s="1"/>
  <c r="I15" i="3"/>
  <c r="N51" i="6" l="1"/>
  <c r="M52" i="6"/>
  <c r="M10" i="3"/>
  <c r="M11" i="3"/>
  <c r="M5" i="3"/>
  <c r="H6" i="3"/>
  <c r="I6" i="3" s="1"/>
  <c r="J6" i="3" s="1"/>
  <c r="M4" i="3"/>
  <c r="N3" i="2"/>
  <c r="D11" i="2" s="1"/>
  <c r="E30" i="3" s="1"/>
  <c r="D9" i="2"/>
  <c r="O51" i="6" l="1"/>
  <c r="O52" i="6" s="1"/>
  <c r="N52" i="6"/>
  <c r="M12" i="3"/>
  <c r="M13" i="3" s="1"/>
  <c r="E7" i="3" s="1"/>
  <c r="O4" i="3"/>
  <c r="F5" i="3" s="1"/>
  <c r="D10" i="2"/>
  <c r="F23" i="3" l="1"/>
  <c r="F22" i="3" s="1"/>
  <c r="I6" i="5"/>
  <c r="G5" i="3"/>
  <c r="E10" i="3"/>
  <c r="E8" i="3"/>
  <c r="D13" i="2"/>
  <c r="I8" i="5" l="1"/>
  <c r="I15" i="5"/>
  <c r="E28" i="3"/>
  <c r="H16" i="5"/>
  <c r="H20" i="5" s="1"/>
  <c r="G23" i="3"/>
  <c r="G22" i="3" s="1"/>
  <c r="J6" i="5"/>
  <c r="E14" i="3"/>
  <c r="E17" i="3"/>
  <c r="H5" i="3"/>
  <c r="E11" i="3"/>
  <c r="H22" i="5" l="1"/>
  <c r="H21" i="5"/>
  <c r="J8" i="5"/>
  <c r="J15" i="5"/>
  <c r="H17" i="5"/>
  <c r="H18" i="5"/>
  <c r="E27" i="3"/>
  <c r="E31" i="3" s="1"/>
  <c r="E32" i="3" s="1"/>
  <c r="H9" i="5"/>
  <c r="H23" i="3"/>
  <c r="H22" i="3" s="1"/>
  <c r="K6" i="5"/>
  <c r="F30" i="3"/>
  <c r="I5" i="3"/>
  <c r="H11" i="5" l="1"/>
  <c r="H32" i="5"/>
  <c r="K8" i="5"/>
  <c r="K15" i="5"/>
  <c r="I23" i="3"/>
  <c r="I22" i="3" s="1"/>
  <c r="L6" i="5"/>
  <c r="J5" i="3"/>
  <c r="M6" i="5" s="1"/>
  <c r="M15" i="5" s="1"/>
  <c r="L8" i="5" l="1"/>
  <c r="L15" i="5"/>
  <c r="M8" i="5"/>
  <c r="J23" i="3"/>
  <c r="J22" i="3" s="1"/>
  <c r="J7" i="3" l="1"/>
  <c r="J10" i="3" s="1"/>
  <c r="J18" i="3"/>
  <c r="M29" i="5"/>
  <c r="M31" i="5" s="1"/>
  <c r="J14" i="3" l="1"/>
  <c r="J17" i="3" s="1"/>
  <c r="J11" i="3"/>
  <c r="M16" i="5"/>
  <c r="J28" i="3"/>
  <c r="M18" i="5" l="1"/>
  <c r="M20" i="5"/>
  <c r="M22" i="5" s="1"/>
  <c r="J27" i="3"/>
  <c r="M9" i="5"/>
  <c r="M32" i="5" s="1"/>
  <c r="F7" i="3" l="1"/>
  <c r="G7" i="3"/>
  <c r="H7" i="3"/>
  <c r="I7" i="3"/>
  <c r="F8" i="3"/>
  <c r="G8" i="3"/>
  <c r="H8" i="3"/>
  <c r="I8" i="3"/>
  <c r="F10" i="3"/>
  <c r="G10" i="3"/>
  <c r="H10" i="3"/>
  <c r="I10" i="3"/>
  <c r="F11" i="3"/>
  <c r="G11" i="3"/>
  <c r="H11" i="3"/>
  <c r="I11" i="3"/>
  <c r="F14" i="3"/>
  <c r="G14" i="3"/>
  <c r="H14" i="3"/>
  <c r="I14" i="3"/>
  <c r="F17" i="3"/>
  <c r="G17" i="3"/>
  <c r="H17" i="3"/>
  <c r="I17" i="3"/>
  <c r="F18" i="3"/>
  <c r="G18" i="3"/>
  <c r="H18" i="3"/>
  <c r="I18" i="3"/>
  <c r="F19" i="3"/>
  <c r="G19" i="3"/>
  <c r="H19" i="3"/>
  <c r="I19" i="3"/>
  <c r="F27" i="3"/>
  <c r="G27" i="3"/>
  <c r="H27" i="3"/>
  <c r="I27" i="3"/>
  <c r="F28" i="3"/>
  <c r="G28" i="3"/>
  <c r="H28" i="3"/>
  <c r="I28" i="3"/>
  <c r="G30" i="3"/>
  <c r="H30" i="3"/>
  <c r="I30" i="3"/>
  <c r="J30" i="3"/>
  <c r="F31" i="3"/>
  <c r="G31" i="3"/>
  <c r="H31" i="3"/>
  <c r="I31" i="3"/>
  <c r="J31" i="3"/>
  <c r="F32" i="3"/>
  <c r="G32" i="3"/>
  <c r="H32" i="3"/>
  <c r="I32" i="3"/>
  <c r="J32" i="3"/>
  <c r="K17" i="6"/>
  <c r="L17" i="6"/>
  <c r="M17" i="6"/>
  <c r="N17" i="6"/>
  <c r="O17" i="6"/>
  <c r="K18" i="6"/>
  <c r="L18" i="6"/>
  <c r="M18" i="6"/>
  <c r="N18" i="6"/>
  <c r="O18" i="6"/>
  <c r="F20" i="6"/>
  <c r="G20" i="6"/>
  <c r="H20" i="6"/>
  <c r="I20" i="6"/>
  <c r="K20" i="6"/>
  <c r="L20" i="6"/>
  <c r="M20" i="6"/>
  <c r="N20" i="6"/>
  <c r="O20" i="6"/>
  <c r="F21" i="6"/>
  <c r="G21" i="6"/>
  <c r="H21" i="6"/>
  <c r="I21" i="6"/>
  <c r="K21" i="6"/>
  <c r="L21" i="6"/>
  <c r="M21" i="6"/>
  <c r="N21" i="6"/>
  <c r="O21" i="6"/>
  <c r="F22" i="6"/>
  <c r="G22" i="6"/>
  <c r="H22" i="6"/>
  <c r="I22" i="6"/>
  <c r="J22" i="6"/>
  <c r="K22" i="6"/>
  <c r="L22" i="6"/>
  <c r="M22" i="6"/>
  <c r="N22" i="6"/>
  <c r="O22" i="6"/>
  <c r="K25" i="6"/>
  <c r="L25" i="6"/>
  <c r="M25" i="6"/>
  <c r="N25" i="6"/>
  <c r="O25" i="6"/>
  <c r="F28" i="6"/>
  <c r="G28" i="6"/>
  <c r="H28" i="6"/>
  <c r="I28" i="6"/>
  <c r="K28" i="6"/>
  <c r="L28" i="6"/>
  <c r="M28" i="6"/>
  <c r="N28" i="6"/>
  <c r="O28" i="6"/>
  <c r="F29" i="6"/>
  <c r="G29" i="6"/>
  <c r="H29" i="6"/>
  <c r="I29" i="6"/>
  <c r="K29" i="6"/>
  <c r="L29" i="6"/>
  <c r="M29" i="6"/>
  <c r="N29" i="6"/>
  <c r="O29" i="6"/>
  <c r="F30" i="6"/>
  <c r="G30" i="6"/>
  <c r="H30" i="6"/>
  <c r="I30" i="6"/>
  <c r="J30" i="6"/>
  <c r="K30" i="6"/>
  <c r="L30" i="6"/>
  <c r="M30" i="6"/>
  <c r="N30" i="6"/>
  <c r="O30" i="6"/>
  <c r="F32" i="6"/>
  <c r="G32" i="6"/>
  <c r="H32" i="6"/>
  <c r="I32" i="6"/>
  <c r="K32" i="6"/>
  <c r="L32" i="6"/>
  <c r="M32" i="6"/>
  <c r="N32" i="6"/>
  <c r="O32" i="6"/>
  <c r="F35" i="6"/>
  <c r="G35" i="6"/>
  <c r="H35" i="6"/>
  <c r="I35" i="6"/>
  <c r="K35" i="6"/>
  <c r="L35" i="6"/>
  <c r="M35" i="6"/>
  <c r="N35" i="6"/>
  <c r="O35" i="6"/>
  <c r="F36" i="6"/>
  <c r="G36" i="6"/>
  <c r="H36" i="6"/>
  <c r="I36" i="6"/>
  <c r="K36" i="6"/>
  <c r="L36" i="6"/>
  <c r="M36" i="6"/>
  <c r="N36" i="6"/>
  <c r="O36" i="6"/>
  <c r="F37" i="6"/>
  <c r="G37" i="6"/>
  <c r="H37" i="6"/>
  <c r="I37" i="6"/>
  <c r="J37" i="6"/>
  <c r="K37" i="6"/>
  <c r="L37" i="6"/>
  <c r="M37" i="6"/>
  <c r="N37" i="6"/>
  <c r="O37" i="6"/>
  <c r="F41" i="6"/>
  <c r="G41" i="6"/>
  <c r="H41" i="6"/>
  <c r="I41" i="6"/>
  <c r="K41" i="6"/>
  <c r="L41" i="6"/>
  <c r="M41" i="6"/>
  <c r="N41" i="6"/>
  <c r="O41" i="6"/>
  <c r="F42" i="6"/>
  <c r="G42" i="6"/>
  <c r="H42" i="6"/>
  <c r="I42" i="6"/>
  <c r="K42" i="6"/>
  <c r="L42" i="6"/>
  <c r="M42" i="6"/>
  <c r="N42" i="6"/>
  <c r="O42" i="6"/>
  <c r="F43" i="6"/>
  <c r="G43" i="6"/>
  <c r="H43" i="6"/>
  <c r="I43" i="6"/>
  <c r="K43" i="6"/>
  <c r="L43" i="6"/>
  <c r="M43" i="6"/>
  <c r="N43" i="6"/>
  <c r="O43" i="6"/>
  <c r="K45" i="6"/>
  <c r="L45" i="6"/>
  <c r="M45" i="6"/>
  <c r="N45" i="6"/>
  <c r="O45" i="6"/>
  <c r="K46" i="6"/>
  <c r="L46" i="6"/>
  <c r="M46" i="6"/>
  <c r="N46" i="6"/>
  <c r="O46" i="6"/>
  <c r="F48" i="6"/>
  <c r="G48" i="6"/>
  <c r="H48" i="6"/>
  <c r="I48" i="6"/>
  <c r="K48" i="6"/>
  <c r="L48" i="6"/>
  <c r="M48" i="6"/>
  <c r="N48" i="6"/>
  <c r="O48" i="6"/>
  <c r="F49" i="6"/>
  <c r="G49" i="6"/>
  <c r="H49" i="6"/>
  <c r="I49" i="6"/>
  <c r="K49" i="6"/>
  <c r="L49" i="6"/>
  <c r="M49" i="6"/>
  <c r="N49" i="6"/>
  <c r="O49" i="6"/>
  <c r="F50" i="6"/>
  <c r="G50" i="6"/>
  <c r="H50" i="6"/>
  <c r="I50" i="6"/>
  <c r="K50" i="6"/>
  <c r="L50" i="6"/>
  <c r="M50" i="6"/>
  <c r="N50" i="6"/>
  <c r="O50" i="6"/>
  <c r="D55" i="6"/>
  <c r="D56" i="6"/>
  <c r="D60" i="6"/>
  <c r="F60" i="6"/>
  <c r="M60" i="6"/>
  <c r="O60" i="6"/>
  <c r="D61" i="6"/>
  <c r="F61" i="6"/>
  <c r="M61" i="6"/>
  <c r="O61" i="6"/>
  <c r="D62" i="6"/>
  <c r="F62" i="6"/>
  <c r="M62" i="6"/>
  <c r="O62" i="6"/>
  <c r="D64" i="6"/>
  <c r="M64" i="6"/>
  <c r="C82" i="6"/>
  <c r="D82" i="6"/>
  <c r="E82" i="6"/>
  <c r="F82" i="6"/>
  <c r="G82" i="6"/>
  <c r="J82" i="6"/>
  <c r="K82" i="6"/>
  <c r="L82" i="6"/>
  <c r="M82" i="6"/>
  <c r="N82" i="6"/>
  <c r="C83" i="6"/>
  <c r="D83" i="6"/>
  <c r="E83" i="6"/>
  <c r="F83" i="6"/>
  <c r="G83" i="6"/>
  <c r="J83" i="6"/>
  <c r="K83" i="6"/>
  <c r="L83" i="6"/>
  <c r="M83" i="6"/>
  <c r="N83" i="6"/>
  <c r="C84" i="6"/>
  <c r="D84" i="6"/>
  <c r="E84" i="6"/>
  <c r="F84" i="6"/>
  <c r="G84" i="6"/>
  <c r="J84" i="6"/>
  <c r="K84" i="6"/>
  <c r="L84" i="6"/>
  <c r="M84" i="6"/>
  <c r="N84" i="6"/>
  <c r="C85" i="6"/>
  <c r="D85" i="6"/>
  <c r="E85" i="6"/>
  <c r="F85" i="6"/>
  <c r="G85" i="6"/>
  <c r="J85" i="6"/>
  <c r="K85" i="6"/>
  <c r="L85" i="6"/>
  <c r="M85" i="6"/>
  <c r="N85" i="6"/>
  <c r="C86" i="6"/>
  <c r="D86" i="6"/>
  <c r="E86" i="6"/>
  <c r="F86" i="6"/>
  <c r="G86" i="6"/>
  <c r="J86" i="6"/>
  <c r="K86" i="6"/>
  <c r="L86" i="6"/>
  <c r="M86" i="6"/>
  <c r="N86" i="6"/>
  <c r="K17" i="11"/>
  <c r="L17" i="11"/>
  <c r="M17" i="11"/>
  <c r="N17" i="11"/>
  <c r="O17" i="11"/>
  <c r="K18" i="11"/>
  <c r="L18" i="11"/>
  <c r="M18" i="11"/>
  <c r="N18" i="11"/>
  <c r="O18" i="11"/>
  <c r="F20" i="11"/>
  <c r="G20" i="11"/>
  <c r="H20" i="11"/>
  <c r="I20" i="11"/>
  <c r="K20" i="11"/>
  <c r="L20" i="11"/>
  <c r="M20" i="11"/>
  <c r="N20" i="11"/>
  <c r="O20" i="11"/>
  <c r="F21" i="11"/>
  <c r="G21" i="11"/>
  <c r="H21" i="11"/>
  <c r="I21" i="11"/>
  <c r="K21" i="11"/>
  <c r="L21" i="11"/>
  <c r="M21" i="11"/>
  <c r="N21" i="11"/>
  <c r="O21" i="11"/>
  <c r="F22" i="11"/>
  <c r="G22" i="11"/>
  <c r="H22" i="11"/>
  <c r="I22" i="11"/>
  <c r="J22" i="11"/>
  <c r="K22" i="11"/>
  <c r="L22" i="11"/>
  <c r="M22" i="11"/>
  <c r="N22" i="11"/>
  <c r="O22" i="11"/>
  <c r="K25" i="11"/>
  <c r="L25" i="11"/>
  <c r="M25" i="11"/>
  <c r="N25" i="11"/>
  <c r="O25" i="11"/>
  <c r="F28" i="11"/>
  <c r="G28" i="11"/>
  <c r="H28" i="11"/>
  <c r="I28" i="11"/>
  <c r="K28" i="11"/>
  <c r="L28" i="11"/>
  <c r="M28" i="11"/>
  <c r="N28" i="11"/>
  <c r="O28" i="11"/>
  <c r="F29" i="11"/>
  <c r="G29" i="11"/>
  <c r="H29" i="11"/>
  <c r="I29" i="11"/>
  <c r="K29" i="11"/>
  <c r="L29" i="11"/>
  <c r="M29" i="11"/>
  <c r="N29" i="11"/>
  <c r="O29" i="11"/>
  <c r="F30" i="11"/>
  <c r="G30" i="11"/>
  <c r="H30" i="11"/>
  <c r="I30" i="11"/>
  <c r="J30" i="11"/>
  <c r="K30" i="11"/>
  <c r="L30" i="11"/>
  <c r="M30" i="11"/>
  <c r="N30" i="11"/>
  <c r="O30" i="11"/>
  <c r="F32" i="11"/>
  <c r="G32" i="11"/>
  <c r="H32" i="11"/>
  <c r="I32" i="11"/>
  <c r="K32" i="11"/>
  <c r="L32" i="11"/>
  <c r="M32" i="11"/>
  <c r="N32" i="11"/>
  <c r="O32" i="11"/>
  <c r="F35" i="11"/>
  <c r="G35" i="11"/>
  <c r="H35" i="11"/>
  <c r="I35" i="11"/>
  <c r="K35" i="11"/>
  <c r="L35" i="11"/>
  <c r="M35" i="11"/>
  <c r="N35" i="11"/>
  <c r="O35" i="11"/>
  <c r="F36" i="11"/>
  <c r="G36" i="11"/>
  <c r="H36" i="11"/>
  <c r="I36" i="11"/>
  <c r="K36" i="11"/>
  <c r="L36" i="11"/>
  <c r="M36" i="11"/>
  <c r="N36" i="11"/>
  <c r="O36" i="11"/>
  <c r="F37" i="11"/>
  <c r="G37" i="11"/>
  <c r="H37" i="11"/>
  <c r="I37" i="11"/>
  <c r="J37" i="11"/>
  <c r="K37" i="11"/>
  <c r="L37" i="11"/>
  <c r="M37" i="11"/>
  <c r="N37" i="11"/>
  <c r="O37" i="11"/>
  <c r="F41" i="11"/>
  <c r="G41" i="11"/>
  <c r="H41" i="11"/>
  <c r="I41" i="11"/>
  <c r="K41" i="11"/>
  <c r="L41" i="11"/>
  <c r="M41" i="11"/>
  <c r="N41" i="11"/>
  <c r="O41" i="11"/>
  <c r="F42" i="11"/>
  <c r="G42" i="11"/>
  <c r="H42" i="11"/>
  <c r="I42" i="11"/>
  <c r="K42" i="11"/>
  <c r="L42" i="11"/>
  <c r="M42" i="11"/>
  <c r="N42" i="11"/>
  <c r="O42" i="11"/>
  <c r="F43" i="11"/>
  <c r="G43" i="11"/>
  <c r="H43" i="11"/>
  <c r="I43" i="11"/>
  <c r="K43" i="11"/>
  <c r="L43" i="11"/>
  <c r="M43" i="11"/>
  <c r="N43" i="11"/>
  <c r="O43" i="11"/>
  <c r="K45" i="11"/>
  <c r="L45" i="11"/>
  <c r="M45" i="11"/>
  <c r="N45" i="11"/>
  <c r="O45" i="11"/>
  <c r="K46" i="11"/>
  <c r="L46" i="11"/>
  <c r="M46" i="11"/>
  <c r="N46" i="11"/>
  <c r="O46" i="11"/>
  <c r="F48" i="11"/>
  <c r="G48" i="11"/>
  <c r="H48" i="11"/>
  <c r="I48" i="11"/>
  <c r="K48" i="11"/>
  <c r="L48" i="11"/>
  <c r="M48" i="11"/>
  <c r="N48" i="11"/>
  <c r="O48" i="11"/>
  <c r="F49" i="11"/>
  <c r="G49" i="11"/>
  <c r="H49" i="11"/>
  <c r="I49" i="11"/>
  <c r="K49" i="11"/>
  <c r="L49" i="11"/>
  <c r="M49" i="11"/>
  <c r="N49" i="11"/>
  <c r="O49" i="11"/>
  <c r="F50" i="11"/>
  <c r="G50" i="11"/>
  <c r="H50" i="11"/>
  <c r="I50" i="11"/>
  <c r="K50" i="11"/>
  <c r="L50" i="11"/>
  <c r="M50" i="11"/>
  <c r="N50" i="11"/>
  <c r="O50" i="11"/>
  <c r="F53" i="11"/>
  <c r="G53" i="11"/>
  <c r="H53" i="11"/>
  <c r="I53" i="11"/>
  <c r="K53" i="11"/>
  <c r="L53" i="11"/>
  <c r="M53" i="11"/>
  <c r="N53" i="11"/>
  <c r="O53" i="11"/>
  <c r="D56" i="11"/>
  <c r="D57" i="11"/>
  <c r="D61" i="11"/>
  <c r="F61" i="11"/>
  <c r="M61" i="11"/>
  <c r="O61" i="11"/>
  <c r="D62" i="11"/>
  <c r="F62" i="11"/>
  <c r="M62" i="11"/>
  <c r="O62" i="11"/>
  <c r="D63" i="11"/>
  <c r="F63" i="11"/>
  <c r="M63" i="11"/>
  <c r="O63" i="11"/>
  <c r="D65" i="11"/>
  <c r="M65" i="11"/>
  <c r="C83" i="11"/>
  <c r="D83" i="11"/>
  <c r="E83" i="11"/>
  <c r="F83" i="11"/>
  <c r="G83" i="11"/>
  <c r="J83" i="11"/>
  <c r="K83" i="11"/>
  <c r="L83" i="11"/>
  <c r="M83" i="11"/>
  <c r="N83" i="11"/>
  <c r="C84" i="11"/>
  <c r="D84" i="11"/>
  <c r="E84" i="11"/>
  <c r="F84" i="11"/>
  <c r="G84" i="11"/>
  <c r="J84" i="11"/>
  <c r="K84" i="11"/>
  <c r="L84" i="11"/>
  <c r="M84" i="11"/>
  <c r="N84" i="11"/>
  <c r="C85" i="11"/>
  <c r="D85" i="11"/>
  <c r="E85" i="11"/>
  <c r="F85" i="11"/>
  <c r="G85" i="11"/>
  <c r="J85" i="11"/>
  <c r="K85" i="11"/>
  <c r="L85" i="11"/>
  <c r="M85" i="11"/>
  <c r="N85" i="11"/>
  <c r="C86" i="11"/>
  <c r="D86" i="11"/>
  <c r="E86" i="11"/>
  <c r="F86" i="11"/>
  <c r="G86" i="11"/>
  <c r="J86" i="11"/>
  <c r="K86" i="11"/>
  <c r="L86" i="11"/>
  <c r="M86" i="11"/>
  <c r="N86" i="11"/>
  <c r="C87" i="11"/>
  <c r="D87" i="11"/>
  <c r="E87" i="11"/>
  <c r="F87" i="11"/>
  <c r="G87" i="11"/>
  <c r="J87" i="11"/>
  <c r="K87" i="11"/>
  <c r="L87" i="11"/>
  <c r="M87" i="11"/>
  <c r="N87" i="11"/>
  <c r="D103" i="11"/>
  <c r="E103" i="11"/>
  <c r="D104" i="11"/>
  <c r="E104" i="11"/>
  <c r="D105" i="11"/>
  <c r="E105" i="11"/>
  <c r="D107" i="11"/>
  <c r="C115" i="11"/>
  <c r="D115" i="11"/>
  <c r="E115" i="11"/>
  <c r="F115" i="11"/>
  <c r="G115" i="11"/>
  <c r="C116" i="11"/>
  <c r="D116" i="11"/>
  <c r="E116" i="11"/>
  <c r="F116" i="11"/>
  <c r="G116" i="11"/>
  <c r="C117" i="11"/>
  <c r="D117" i="11"/>
  <c r="E117" i="11"/>
  <c r="F117" i="11"/>
  <c r="G117" i="11"/>
  <c r="C118" i="11"/>
  <c r="D118" i="11"/>
  <c r="E118" i="11"/>
  <c r="F118" i="11"/>
  <c r="G118" i="11"/>
  <c r="C119" i="11"/>
  <c r="D119" i="11"/>
  <c r="E119" i="11"/>
  <c r="F119" i="11"/>
  <c r="G119" i="11"/>
  <c r="N6" i="5"/>
  <c r="O6" i="5"/>
  <c r="P6" i="5"/>
  <c r="Q6" i="5"/>
  <c r="R6" i="5"/>
  <c r="N8" i="5"/>
  <c r="O8" i="5"/>
  <c r="P8" i="5"/>
  <c r="Q8" i="5"/>
  <c r="I9" i="5"/>
  <c r="J9" i="5"/>
  <c r="K9" i="5"/>
  <c r="L9" i="5"/>
  <c r="N9" i="5"/>
  <c r="O9" i="5"/>
  <c r="P9" i="5"/>
  <c r="Q9" i="5"/>
  <c r="R9" i="5"/>
  <c r="I10" i="5"/>
  <c r="J10" i="5"/>
  <c r="K10" i="5"/>
  <c r="L10" i="5"/>
  <c r="I11" i="5"/>
  <c r="J11" i="5"/>
  <c r="K11" i="5"/>
  <c r="L11" i="5"/>
  <c r="M11" i="5"/>
  <c r="N11" i="5"/>
  <c r="O11" i="5"/>
  <c r="P11" i="5"/>
  <c r="Q11" i="5"/>
  <c r="I12" i="5"/>
  <c r="J12" i="5"/>
  <c r="K12" i="5"/>
  <c r="L12" i="5"/>
  <c r="N12" i="5"/>
  <c r="O12" i="5"/>
  <c r="P12" i="5"/>
  <c r="Q12" i="5"/>
  <c r="N15" i="5"/>
  <c r="O15" i="5"/>
  <c r="P15" i="5"/>
  <c r="Q15" i="5"/>
  <c r="R15" i="5"/>
  <c r="I16" i="5"/>
  <c r="J16" i="5"/>
  <c r="K16" i="5"/>
  <c r="L16" i="5"/>
  <c r="N16" i="5"/>
  <c r="O16" i="5"/>
  <c r="P16" i="5"/>
  <c r="Q16" i="5"/>
  <c r="R16" i="5"/>
  <c r="I17" i="5"/>
  <c r="J17" i="5"/>
  <c r="K17" i="5"/>
  <c r="L17" i="5"/>
  <c r="M17" i="5"/>
  <c r="N17" i="5"/>
  <c r="O17" i="5"/>
  <c r="P17" i="5"/>
  <c r="Q17" i="5"/>
  <c r="I18" i="5"/>
  <c r="J18" i="5"/>
  <c r="K18" i="5"/>
  <c r="L18" i="5"/>
  <c r="N18" i="5"/>
  <c r="O18" i="5"/>
  <c r="P18" i="5"/>
  <c r="Q18" i="5"/>
  <c r="R18" i="5"/>
  <c r="I20" i="5"/>
  <c r="J20" i="5"/>
  <c r="K20" i="5"/>
  <c r="L20" i="5"/>
  <c r="N20" i="5"/>
  <c r="O20" i="5"/>
  <c r="P20" i="5"/>
  <c r="Q20" i="5"/>
  <c r="R20" i="5"/>
  <c r="I21" i="5"/>
  <c r="J21" i="5"/>
  <c r="K21" i="5"/>
  <c r="L21" i="5"/>
  <c r="M21" i="5"/>
  <c r="N21" i="5"/>
  <c r="O21" i="5"/>
  <c r="P21" i="5"/>
  <c r="Q21" i="5"/>
  <c r="R21" i="5"/>
  <c r="I22" i="5"/>
  <c r="J22" i="5"/>
  <c r="K22" i="5"/>
  <c r="L22" i="5"/>
  <c r="N22" i="5"/>
  <c r="O22" i="5"/>
  <c r="P22" i="5"/>
  <c r="Q22" i="5"/>
  <c r="R22" i="5"/>
  <c r="I29" i="5"/>
  <c r="J29" i="5"/>
  <c r="K29" i="5"/>
  <c r="L29" i="5"/>
  <c r="N29" i="5"/>
  <c r="O29" i="5"/>
  <c r="P29" i="5"/>
  <c r="Q29" i="5"/>
  <c r="R29" i="5"/>
  <c r="I30" i="5" a="1"/>
  <c r="I30" i="5"/>
  <c r="J30" i="5" a="1"/>
  <c r="J30" i="5"/>
  <c r="K30" i="5" a="1"/>
  <c r="K30" i="5"/>
  <c r="L30" i="5" a="1"/>
  <c r="L30" i="5"/>
  <c r="M30" i="5" a="1"/>
  <c r="M30" i="5"/>
  <c r="N30" i="5" a="1"/>
  <c r="N30" i="5"/>
  <c r="O30" i="5" a="1"/>
  <c r="O30" i="5"/>
  <c r="P30" i="5" a="1"/>
  <c r="P30" i="5"/>
  <c r="Q30" i="5" a="1"/>
  <c r="Q30" i="5"/>
  <c r="R30" i="5" a="1"/>
  <c r="R30" i="5"/>
  <c r="I31" i="5"/>
  <c r="J31" i="5"/>
  <c r="K31" i="5"/>
  <c r="L31" i="5"/>
  <c r="N31" i="5"/>
  <c r="O31" i="5"/>
  <c r="P31" i="5"/>
  <c r="Q31" i="5"/>
  <c r="I32" i="5"/>
  <c r="J32" i="5"/>
  <c r="K32" i="5"/>
  <c r="L32" i="5"/>
  <c r="N32" i="5"/>
  <c r="O32" i="5"/>
  <c r="P32" i="5"/>
  <c r="Q32" i="5"/>
  <c r="R32" i="5"/>
  <c r="N33" i="5"/>
  <c r="O33" i="5"/>
  <c r="P33" i="5"/>
  <c r="Q33" i="5"/>
  <c r="R33" i="5"/>
  <c r="N34" i="5"/>
  <c r="O34" i="5"/>
  <c r="P34" i="5"/>
  <c r="Q34" i="5"/>
  <c r="N35" i="5"/>
  <c r="O35" i="5"/>
  <c r="P35" i="5"/>
  <c r="Q35" i="5"/>
  <c r="R3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<sst xmlns="http://schemas.openxmlformats.org/spreadsheetml/2006/main" count="546" uniqueCount="232">
  <si>
    <t>Base Value</t>
  </si>
  <si>
    <t>Source Note</t>
  </si>
  <si>
    <t>Base Year</t>
  </si>
  <si>
    <t>FY2024</t>
  </si>
  <si>
    <t>Forecast Year</t>
  </si>
  <si>
    <t>FY2025-FY2029</t>
  </si>
  <si>
    <t xml:space="preserve">Risk-Free Rate </t>
  </si>
  <si>
    <t>RBI BULLETIN</t>
  </si>
  <si>
    <t>Beta</t>
  </si>
  <si>
    <t>Market Risk Premium</t>
  </si>
  <si>
    <t xml:space="preserve">Parametres </t>
  </si>
  <si>
    <t>Cost of Debt (Pre-Tax)</t>
  </si>
  <si>
    <t>Tax Rate</t>
  </si>
  <si>
    <t>Debt/ ( Debt + Equity )</t>
  </si>
  <si>
    <t>WACC</t>
  </si>
  <si>
    <t>Terminal Growth (g)</t>
  </si>
  <si>
    <t>Revenue Growth (FY25)</t>
  </si>
  <si>
    <t>Revenue Growth (FY26-29)</t>
  </si>
  <si>
    <t>Change in WC (% of Revenue)</t>
  </si>
  <si>
    <t>Depreciation (% of Revenue )</t>
  </si>
  <si>
    <t>CapEx (% of Revenue)</t>
  </si>
  <si>
    <t>Net Debt (FY24)</t>
  </si>
  <si>
    <t>Shares Outstanding</t>
  </si>
  <si>
    <t xml:space="preserve">Yahoo Finance </t>
  </si>
  <si>
    <t>Annual Report</t>
  </si>
  <si>
    <t>Balance Sheet</t>
  </si>
  <si>
    <t>ESTIMATED</t>
  </si>
  <si>
    <t>TAPERING ESTIMATE</t>
  </si>
  <si>
    <t>EBIT Margin (FY25 - FY29 )</t>
  </si>
  <si>
    <t>Assumptions</t>
  </si>
  <si>
    <t>Key Assumptions</t>
  </si>
  <si>
    <t xml:space="preserve">Last Historical FYE </t>
  </si>
  <si>
    <t>Forecast Years</t>
  </si>
  <si>
    <t>Enterprise Value Calculations</t>
  </si>
  <si>
    <t>Current Share Price (in Rs.) ( c )</t>
  </si>
  <si>
    <t>No. of Shares Outstanding (in Cr.)</t>
  </si>
  <si>
    <t>Market Cap ( in Cr. Rs. )</t>
  </si>
  <si>
    <t>Net Debt / (cash) ( in Cr. Rs.)</t>
  </si>
  <si>
    <t xml:space="preserve">Enterprise Value ( in Cr. Rs. ) </t>
  </si>
  <si>
    <t>Cash</t>
  </si>
  <si>
    <t>Total Debt</t>
  </si>
  <si>
    <t>5 Year Forecasts</t>
  </si>
  <si>
    <t>Particulars</t>
  </si>
  <si>
    <t>FY27</t>
  </si>
  <si>
    <t>FY28</t>
  </si>
  <si>
    <t>FY29</t>
  </si>
  <si>
    <t>YoY growth %</t>
  </si>
  <si>
    <t>GM%</t>
  </si>
  <si>
    <t>Operating margin %</t>
  </si>
  <si>
    <t>Revenue ( in Cr. Rs. )</t>
  </si>
  <si>
    <t>Gross Profit ( in Cr. Rs. )</t>
  </si>
  <si>
    <t>FY26-FY30</t>
  </si>
  <si>
    <t>FY26</t>
  </si>
  <si>
    <t>FY30</t>
  </si>
  <si>
    <t>Revenue for FY26</t>
  </si>
  <si>
    <t>Revenue for FY25 ( in Cr. Rs. )</t>
  </si>
  <si>
    <t>EPS</t>
  </si>
  <si>
    <t>Profit ( in Cr. Rs. )</t>
  </si>
  <si>
    <t>NET DEBT COMPANY, HENCE, COMPANY HAS LEVERAGE</t>
  </si>
  <si>
    <t>Working Note for Net Debt/(cash)</t>
  </si>
  <si>
    <t>AVERAGE REVENUE YoY GROWTH RATE FOR LAST 5 YEARS</t>
  </si>
  <si>
    <t>Est. Yoy growth for FY26-FY30</t>
  </si>
  <si>
    <t>40% - 20%</t>
  </si>
  <si>
    <t>Growth Rate increases due to the recent IPO and capital flow but stabilises in the long run</t>
  </si>
  <si>
    <t>FY25</t>
  </si>
  <si>
    <t>Nil</t>
  </si>
  <si>
    <t>5 Year Forecast / Plan</t>
  </si>
  <si>
    <t>Operating Expenses</t>
  </si>
  <si>
    <t>Amt.</t>
  </si>
  <si>
    <t>Revenue</t>
  </si>
  <si>
    <r>
      <rPr>
        <i/>
        <sz val="11"/>
        <color theme="1"/>
        <rFont val="Calibri"/>
        <family val="2"/>
        <scheme val="minor"/>
      </rPr>
      <t xml:space="preserve">Less: </t>
    </r>
    <r>
      <rPr>
        <sz val="11"/>
        <color theme="1"/>
        <rFont val="Calibri"/>
        <family val="2"/>
        <scheme val="minor"/>
      </rPr>
      <t>Cost of Employees</t>
    </r>
  </si>
  <si>
    <t xml:space="preserve">Cost of Services Rendered </t>
  </si>
  <si>
    <t xml:space="preserve">Gross Profit </t>
  </si>
  <si>
    <r>
      <rPr>
        <i/>
        <sz val="11"/>
        <color theme="1"/>
        <rFont val="Calibri"/>
        <family val="2"/>
        <scheme val="minor"/>
      </rPr>
      <t xml:space="preserve">Less: </t>
    </r>
    <r>
      <rPr>
        <sz val="11"/>
        <color theme="1"/>
        <rFont val="Calibri"/>
        <family val="2"/>
        <scheme val="minor"/>
      </rPr>
      <t>Cost of Manufacturing</t>
    </r>
  </si>
  <si>
    <t xml:space="preserve">Interest </t>
  </si>
  <si>
    <t>Depreciation</t>
  </si>
  <si>
    <t>Profit before Tax</t>
  </si>
  <si>
    <r>
      <t xml:space="preserve">Add: </t>
    </r>
    <r>
      <rPr>
        <sz val="11"/>
        <color theme="1"/>
        <rFont val="Calibri"/>
        <family val="2"/>
        <scheme val="minor"/>
      </rPr>
      <t>Interest</t>
    </r>
  </si>
  <si>
    <r>
      <t>Add:</t>
    </r>
    <r>
      <rPr>
        <sz val="11"/>
        <color theme="1"/>
        <rFont val="Calibri"/>
        <family val="2"/>
        <scheme val="minor"/>
      </rPr>
      <t xml:space="preserve">Depreciation </t>
    </r>
  </si>
  <si>
    <t>EBITDA</t>
  </si>
  <si>
    <t xml:space="preserve">Capital Expenses </t>
  </si>
  <si>
    <r>
      <rPr>
        <i/>
        <sz val="11"/>
        <color theme="1"/>
        <rFont val="Calibri"/>
        <family val="2"/>
        <scheme val="minor"/>
      </rPr>
      <t xml:space="preserve">Add: </t>
    </r>
    <r>
      <rPr>
        <sz val="11"/>
        <color theme="1"/>
        <rFont val="Calibri"/>
        <family val="2"/>
        <scheme val="minor"/>
      </rPr>
      <t xml:space="preserve">Acquisition </t>
    </r>
  </si>
  <si>
    <t xml:space="preserve">Working Capital </t>
  </si>
  <si>
    <t>Dividend</t>
  </si>
  <si>
    <t>Other</t>
  </si>
  <si>
    <t>Current Assets</t>
  </si>
  <si>
    <r>
      <rPr>
        <i/>
        <sz val="11"/>
        <color theme="1"/>
        <rFont val="Calibri"/>
        <family val="2"/>
        <scheme val="minor"/>
      </rPr>
      <t xml:space="preserve">Add: </t>
    </r>
    <r>
      <rPr>
        <sz val="11"/>
        <color theme="1"/>
        <rFont val="Calibri"/>
        <family val="2"/>
        <scheme val="minor"/>
      </rPr>
      <t>Short Term Loans &amp; Advances</t>
    </r>
  </si>
  <si>
    <r>
      <t xml:space="preserve">Add: </t>
    </r>
    <r>
      <rPr>
        <sz val="11"/>
        <color theme="1"/>
        <rFont val="Calibri"/>
        <family val="2"/>
        <scheme val="minor"/>
      </rPr>
      <t>Trade Payables</t>
    </r>
  </si>
  <si>
    <t>Net Cash Flow</t>
  </si>
  <si>
    <t>Free Cash Flow</t>
  </si>
  <si>
    <t>Opening Net Debt</t>
  </si>
  <si>
    <t>Closing Net Debt</t>
  </si>
  <si>
    <t xml:space="preserve">Net Debt : EBITDA ( Ratio ) </t>
  </si>
  <si>
    <t>Calculation of Gross Profit ( For FY25 )</t>
  </si>
  <si>
    <t>Calculation of Working Capital ( For FY25 )</t>
  </si>
  <si>
    <r>
      <t xml:space="preserve">Add: </t>
    </r>
    <r>
      <rPr>
        <sz val="11"/>
        <color theme="1"/>
        <rFont val="Calibri"/>
        <family val="2"/>
        <scheme val="minor"/>
      </rPr>
      <t xml:space="preserve">Trade Recievables </t>
    </r>
  </si>
  <si>
    <r>
      <t xml:space="preserve">Add: </t>
    </r>
    <r>
      <rPr>
        <sz val="11"/>
        <color theme="1"/>
        <rFont val="Calibri"/>
        <family val="2"/>
        <scheme val="minor"/>
      </rPr>
      <t>Inventories</t>
    </r>
  </si>
  <si>
    <r>
      <rPr>
        <i/>
        <sz val="11"/>
        <color theme="1"/>
        <rFont val="Calibri"/>
        <family val="2"/>
        <scheme val="minor"/>
      </rPr>
      <t xml:space="preserve">Add: </t>
    </r>
    <r>
      <rPr>
        <sz val="11"/>
        <color theme="1"/>
        <rFont val="Calibri"/>
        <family val="2"/>
        <scheme val="minor"/>
      </rPr>
      <t>Other Current Assets</t>
    </r>
  </si>
  <si>
    <t xml:space="preserve">Total Current Assets ( For W.C ) </t>
  </si>
  <si>
    <t xml:space="preserve">Current Liabilities </t>
  </si>
  <si>
    <r>
      <rPr>
        <i/>
        <sz val="11"/>
        <color theme="1"/>
        <rFont val="Calibri"/>
        <family val="2"/>
        <scheme val="minor"/>
      </rPr>
      <t xml:space="preserve">Add: </t>
    </r>
    <r>
      <rPr>
        <sz val="11"/>
        <color theme="1"/>
        <rFont val="Calibri"/>
        <family val="2"/>
        <scheme val="minor"/>
      </rPr>
      <t>Other Current Liabilities</t>
    </r>
  </si>
  <si>
    <t xml:space="preserve">Total Current Liabilities ( For W.C ) </t>
  </si>
  <si>
    <t>Calculation of Working Capital ( For FY24 )</t>
  </si>
  <si>
    <t>Change in W.C</t>
  </si>
  <si>
    <t xml:space="preserve">W.C in FY24 </t>
  </si>
  <si>
    <t>W.C in FY25</t>
  </si>
  <si>
    <t>FY24</t>
  </si>
  <si>
    <t>Actuals</t>
  </si>
  <si>
    <t xml:space="preserve">W.C % ( of Revenue ) </t>
  </si>
  <si>
    <t>CapEx % ( of Revenue )</t>
  </si>
  <si>
    <t>Operating Profit ( EBIT )</t>
  </si>
  <si>
    <t>Working Capital Change</t>
  </si>
  <si>
    <t>Working Capital ( Absolute )</t>
  </si>
  <si>
    <t>Historical % of Revenue for CapEx</t>
  </si>
  <si>
    <t>FY22</t>
  </si>
  <si>
    <t>FY23</t>
  </si>
  <si>
    <t>Total CapEx</t>
  </si>
  <si>
    <t xml:space="preserve">Revenue </t>
  </si>
  <si>
    <t>FY24 - FY25 Avg.</t>
  </si>
  <si>
    <t>Future % of Revenue for CapEx</t>
  </si>
  <si>
    <t xml:space="preserve">CapEx % of Revenue Calculations </t>
  </si>
  <si>
    <t>This forecast shows the maintenance of recent trend in FY26, efficiency and stabilization from FY27 through FY29 leading to a mature steady state in FY30</t>
  </si>
  <si>
    <r>
      <t xml:space="preserve">Since the </t>
    </r>
    <r>
      <rPr>
        <b/>
        <i/>
        <sz val="12"/>
        <color theme="1"/>
        <rFont val="Calibri"/>
        <family val="2"/>
        <scheme val="minor"/>
      </rPr>
      <t>EBITDA is Positive</t>
    </r>
    <r>
      <rPr>
        <i/>
        <sz val="12"/>
        <color theme="1"/>
        <rFont val="Calibri"/>
        <family val="2"/>
        <scheme val="minor"/>
      </rPr>
      <t xml:space="preserve"> it shows that the company is </t>
    </r>
    <r>
      <rPr>
        <b/>
        <i/>
        <sz val="12"/>
        <color theme="1"/>
        <rFont val="Calibri"/>
        <family val="2"/>
        <scheme val="minor"/>
      </rPr>
      <t>operationally profitable</t>
    </r>
    <r>
      <rPr>
        <i/>
        <sz val="12"/>
        <color theme="1"/>
        <rFont val="Calibri"/>
        <family val="2"/>
        <scheme val="minor"/>
      </rPr>
      <t xml:space="preserve">, and a </t>
    </r>
    <r>
      <rPr>
        <b/>
        <i/>
        <sz val="12"/>
        <color theme="1"/>
        <rFont val="Calibri"/>
        <family val="2"/>
        <scheme val="minor"/>
      </rPr>
      <t>positive cash flow</t>
    </r>
    <r>
      <rPr>
        <i/>
        <sz val="12"/>
        <color theme="1"/>
        <rFont val="Calibri"/>
        <family val="2"/>
        <scheme val="minor"/>
      </rPr>
      <t xml:space="preserve"> shows the optimal use of resources, leverage and production. </t>
    </r>
    <r>
      <rPr>
        <b/>
        <i/>
        <sz val="12"/>
        <color theme="1"/>
        <rFont val="Calibri"/>
        <family val="2"/>
        <scheme val="minor"/>
      </rPr>
      <t xml:space="preserve">The Net Debt : EBIDTA Ratio being negative, along side a positive EBITDA shows that the company is cash-heavy and less debt-relient which shows signs of great financial health and management of the company. </t>
    </r>
  </si>
  <si>
    <t xml:space="preserve">Income Statement </t>
  </si>
  <si>
    <t xml:space="preserve">Actuals </t>
  </si>
  <si>
    <t>Forecasted</t>
  </si>
  <si>
    <t>Extrapolations</t>
  </si>
  <si>
    <t>FY31</t>
  </si>
  <si>
    <t>FY32</t>
  </si>
  <si>
    <t>FY33</t>
  </si>
  <si>
    <t>FY34</t>
  </si>
  <si>
    <t>FY35</t>
  </si>
  <si>
    <t>Total Revenue</t>
  </si>
  <si>
    <t xml:space="preserve">% Growth </t>
  </si>
  <si>
    <t>% Forecast Margin</t>
  </si>
  <si>
    <t>% growth</t>
  </si>
  <si>
    <t>% margin</t>
  </si>
  <si>
    <t>Depreciation and Amortisation</t>
  </si>
  <si>
    <t>EBIT</t>
  </si>
  <si>
    <t>Tax Rate %</t>
  </si>
  <si>
    <t>Net income</t>
  </si>
  <si>
    <t xml:space="preserve">Cash Flow Statement </t>
  </si>
  <si>
    <t>Capex</t>
  </si>
  <si>
    <t>% sales</t>
  </si>
  <si>
    <t>% Cash conversion</t>
  </si>
  <si>
    <t xml:space="preserve">Change in Working Capital </t>
  </si>
  <si>
    <t>Fy23</t>
  </si>
  <si>
    <t>Fy24</t>
  </si>
  <si>
    <t>nil</t>
  </si>
  <si>
    <t xml:space="preserve">Management Case </t>
  </si>
  <si>
    <t>-</t>
  </si>
  <si>
    <t>FINDING OTHER CASHFLOWS</t>
  </si>
  <si>
    <t>Transaction Date</t>
  </si>
  <si>
    <t>Next Financial Year Ended on</t>
  </si>
  <si>
    <t>Perpetuity Growth Rate</t>
  </si>
  <si>
    <t>TV Exit EBITDA Multiple</t>
  </si>
  <si>
    <t>WACC used for Sensitivity Analysis</t>
  </si>
  <si>
    <t>DCF FCF Calculation(s)</t>
  </si>
  <si>
    <t>Stub Period</t>
  </si>
  <si>
    <t>Stub Factor(s)</t>
  </si>
  <si>
    <t>Year Ended On</t>
  </si>
  <si>
    <t>Since the tranaction date and next financial year are exactly 1 year away, the stub period becomes of 12 months and stub factor of 1</t>
  </si>
  <si>
    <t>D&amp;A</t>
  </si>
  <si>
    <t>% of capex</t>
  </si>
  <si>
    <t>Tax</t>
  </si>
  <si>
    <t>% tax rate</t>
  </si>
  <si>
    <t>EBIAT</t>
  </si>
  <si>
    <t>% D&amp;A</t>
  </si>
  <si>
    <t>Change in Working Capital</t>
  </si>
  <si>
    <t>Free Cash Flow (FCF)</t>
  </si>
  <si>
    <t xml:space="preserve">FCF For Discounting </t>
  </si>
  <si>
    <t>Days to Cashflow</t>
  </si>
  <si>
    <t>Discounting Factor</t>
  </si>
  <si>
    <t xml:space="preserve">Terminal Value </t>
  </si>
  <si>
    <t>Perpetuity Growth Method</t>
  </si>
  <si>
    <t>Exit EBITDA Multiple Method</t>
  </si>
  <si>
    <t xml:space="preserve">Present Value </t>
  </si>
  <si>
    <t>Amt. (In Cr. Rs.)</t>
  </si>
  <si>
    <t>(%)</t>
  </si>
  <si>
    <t>PV of FCF</t>
  </si>
  <si>
    <t>PV of Terminal Value</t>
  </si>
  <si>
    <t>Enterprise value</t>
  </si>
  <si>
    <t>Net debt &amp; adjustments</t>
  </si>
  <si>
    <t>Equity value</t>
  </si>
  <si>
    <t>Share price</t>
  </si>
  <si>
    <t>% premium to current</t>
  </si>
  <si>
    <t xml:space="preserve">The Rate at which the company will steadily grow beyond the forecasted high growth period </t>
  </si>
  <si>
    <t>12x is the ideal for IT Services companies like IKS Pvt. Ltd. In India</t>
  </si>
  <si>
    <t xml:space="preserve">WACC = E/V*Re + D/V *Rd * ( 1 - Tc ) </t>
  </si>
  <si>
    <t>Perpetuity Growth Portion</t>
  </si>
  <si>
    <t>Exit EBITDA Multiple</t>
  </si>
  <si>
    <t xml:space="preserve">No. of Shares </t>
  </si>
  <si>
    <t xml:space="preserve">Equity Value </t>
  </si>
  <si>
    <t xml:space="preserve">Sensitivity Analysis </t>
  </si>
  <si>
    <t>Perpetuity Growth Rate Step-Up</t>
  </si>
  <si>
    <t>WACC Step-Up</t>
  </si>
  <si>
    <t>EBITDA Multiple</t>
  </si>
  <si>
    <t>EBITDA Multiple Step-Up</t>
  </si>
  <si>
    <t>Perpetuity Growth Rate Analysis</t>
  </si>
  <si>
    <t>WACC (%)</t>
  </si>
  <si>
    <t>Perpetuity Growth Rate (%)</t>
  </si>
  <si>
    <t>Enterprise value = ( EBITDA * EBITDA Multiple ) / ( WACC - Growth Rate )</t>
  </si>
  <si>
    <t>Offer Price</t>
  </si>
  <si>
    <t xml:space="preserve">Enterprise value </t>
  </si>
  <si>
    <t>Offer Price = ( EV - Net Debt ) / No. of Shares * 100</t>
  </si>
  <si>
    <t>EBITDA Multiple Analysis</t>
  </si>
  <si>
    <t>EBITDA Multiple (x)</t>
  </si>
  <si>
    <t xml:space="preserve">Enterprise value = ( EBITDA * EBITDA Multiple ) </t>
  </si>
  <si>
    <t xml:space="preserve">Offer Price </t>
  </si>
  <si>
    <t>Offer Price = ( Enterprise Value - Net Debt )</t>
  </si>
  <si>
    <t>DCF (Discounted Cash Flow ) Input</t>
  </si>
  <si>
    <t>DCF Output</t>
  </si>
  <si>
    <t>Summary Financials and Cashflows</t>
  </si>
  <si>
    <t>NPV Based on Perpetuity Growth Rate Method</t>
  </si>
  <si>
    <t>Value Based on 6% WACC &amp; 1% TGR</t>
  </si>
  <si>
    <t>% of NPV</t>
  </si>
  <si>
    <t>Present value of Cashflows</t>
  </si>
  <si>
    <t xml:space="preserve">PV of Terminal Value </t>
  </si>
  <si>
    <t>Implied Firm NPV</t>
  </si>
  <si>
    <t xml:space="preserve">Net Debt &amp; Adjustments </t>
  </si>
  <si>
    <t xml:space="preserve">Implied Equity Value </t>
  </si>
  <si>
    <t>Implied Share Price</t>
  </si>
  <si>
    <t xml:space="preserve">% Premium to Current </t>
  </si>
  <si>
    <t>Sensitising firm value and implied offer price to WACC and TGR</t>
  </si>
  <si>
    <t>Discounted FCF</t>
  </si>
  <si>
    <t xml:space="preserve">DISCOUNTED CASH FLOW (DCF) ANALYSIS OF IKS LTD. </t>
  </si>
  <si>
    <t xml:space="preserve">THIS IS A MODEL FOR SOLELY ACADEMIC AND DEMONSTRATIVE PURPOSES </t>
  </si>
  <si>
    <t>DATED</t>
  </si>
  <si>
    <t>Arsh Sharma</t>
  </si>
  <si>
    <t>November, 2025</t>
  </si>
  <si>
    <t xml:space="preserve">PUBLISHED BY </t>
  </si>
  <si>
    <t>THE CONTENTS OF THIS MODEL ARE AVAILABLE FOR PUBLIC VIEW BUT ARE NOT MEANT FOR PUBLIC DISTRIBUTION OR COPY OF ANY KIND WITHOUT THE AUTHORIZATION OF THE PUBLISHER.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</si>
</sst>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%"/>
    <numFmt numFmtId="165" formatCode="0.0\x_);\(0.0\x\);0.0\x_);@_)"/>
    <numFmt numFmtId="166" formatCode="#,##0.0_);\(#,##0.0\)"/>
    <numFmt numFmtId="167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</font>
    <font>
      <b/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i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4"/>
      <color theme="1"/>
      <name val="Arial"/>
      <family val="2"/>
    </font>
    <font>
      <b/>
      <i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i/>
      <sz val="1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AEAEA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64">
    <xf numFmtId="0" fontId="0" fillId="0" borderId="0" xfId="0"/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2" applyAlignment="1">
      <alignment horizontal="center"/>
    </xf>
    <xf numFmtId="9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0" fillId="0" borderId="1" xfId="0" applyBorder="1"/>
    <xf numFmtId="0" fontId="0" fillId="4" borderId="0" xfId="0" applyFill="1"/>
    <xf numFmtId="43" fontId="2" fillId="0" borderId="0" xfId="1" applyFont="1" applyAlignment="1">
      <alignment horizontal="center"/>
    </xf>
    <xf numFmtId="43" fontId="2" fillId="0" borderId="1" xfId="1" applyFont="1" applyBorder="1" applyAlignment="1"/>
    <xf numFmtId="43" fontId="2" fillId="0" borderId="1" xfId="1" applyFont="1" applyBorder="1" applyAlignment="1">
      <alignment horizontal="center"/>
    </xf>
    <xf numFmtId="43" fontId="2" fillId="0" borderId="1" xfId="1" applyFont="1" applyBorder="1"/>
    <xf numFmtId="43" fontId="2" fillId="3" borderId="1" xfId="0" applyNumberFormat="1" applyFont="1" applyFill="1" applyBorder="1"/>
    <xf numFmtId="0" fontId="0" fillId="0" borderId="1" xfId="0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43" fontId="2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3" fontId="1" fillId="0" borderId="1" xfId="1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43" fontId="0" fillId="0" borderId="1" xfId="0" applyNumberFormat="1" applyBorder="1" applyAlignment="1">
      <alignment horizontal="center"/>
    </xf>
    <xf numFmtId="0" fontId="6" fillId="0" borderId="0" xfId="0" applyFont="1" applyAlignment="1">
      <alignment horizontal="center"/>
    </xf>
    <xf numFmtId="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indent="1"/>
    </xf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left" indent="1"/>
    </xf>
    <xf numFmtId="0" fontId="2" fillId="7" borderId="1" xfId="0" applyFont="1" applyFill="1" applyBorder="1" applyAlignment="1">
      <alignment horizontal="center"/>
    </xf>
    <xf numFmtId="164" fontId="2" fillId="7" borderId="1" xfId="0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0" fontId="8" fillId="0" borderId="1" xfId="1" applyNumberFormat="1" applyFont="1" applyBorder="1" applyAlignment="1">
      <alignment horizontal="right"/>
    </xf>
    <xf numFmtId="43" fontId="2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3" fontId="0" fillId="0" borderId="1" xfId="0" applyNumberFormat="1" applyBorder="1"/>
    <xf numFmtId="43" fontId="0" fillId="0" borderId="0" xfId="0" applyNumberFormat="1"/>
    <xf numFmtId="43" fontId="8" fillId="0" borderId="1" xfId="0" applyNumberFormat="1" applyFont="1" applyBorder="1"/>
    <xf numFmtId="2" fontId="2" fillId="0" borderId="1" xfId="0" applyNumberFormat="1" applyFont="1" applyBorder="1"/>
    <xf numFmtId="164" fontId="8" fillId="0" borderId="1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10" fontId="0" fillId="0" borderId="1" xfId="0" applyNumberFormat="1" applyBorder="1"/>
    <xf numFmtId="10" fontId="8" fillId="0" borderId="1" xfId="0" applyNumberFormat="1" applyFont="1" applyBorder="1"/>
    <xf numFmtId="2" fontId="0" fillId="0" borderId="1" xfId="0" applyNumberFormat="1" applyBorder="1"/>
    <xf numFmtId="0" fontId="8" fillId="0" borderId="1" xfId="0" applyFont="1" applyBorder="1"/>
    <xf numFmtId="2" fontId="8" fillId="0" borderId="1" xfId="0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0" fontId="0" fillId="0" borderId="0" xfId="0" applyNumberFormat="1"/>
    <xf numFmtId="0" fontId="8" fillId="6" borderId="8" xfId="0" applyFont="1" applyFill="1" applyBorder="1" applyAlignment="1">
      <alignment horizontal="center"/>
    </xf>
    <xf numFmtId="10" fontId="8" fillId="0" borderId="0" xfId="0" applyNumberFormat="1" applyFont="1"/>
    <xf numFmtId="165" fontId="9" fillId="0" borderId="1" xfId="0" applyNumberFormat="1" applyFont="1" applyBorder="1" applyAlignment="1">
      <alignment horizontal="center"/>
    </xf>
    <xf numFmtId="0" fontId="2" fillId="7" borderId="1" xfId="0" applyFont="1" applyFill="1" applyBorder="1"/>
    <xf numFmtId="0" fontId="0" fillId="0" borderId="1" xfId="0" applyBorder="1" applyAlignment="1">
      <alignment horizontal="right"/>
    </xf>
    <xf numFmtId="2" fontId="0" fillId="0" borderId="1" xfId="0" applyNumberFormat="1" applyBorder="1" applyAlignment="1">
      <alignment horizontal="right"/>
    </xf>
    <xf numFmtId="10" fontId="2" fillId="0" borderId="1" xfId="1" applyNumberFormat="1" applyFont="1" applyBorder="1"/>
    <xf numFmtId="164" fontId="10" fillId="6" borderId="1" xfId="0" applyNumberFormat="1" applyFont="1" applyFill="1" applyBorder="1" applyAlignment="1">
      <alignment horizontal="center" vertical="center"/>
    </xf>
    <xf numFmtId="164" fontId="2" fillId="6" borderId="6" xfId="0" applyNumberFormat="1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 wrapText="1"/>
    </xf>
    <xf numFmtId="0" fontId="8" fillId="0" borderId="10" xfId="0" applyFont="1" applyBorder="1"/>
    <xf numFmtId="0" fontId="8" fillId="0" borderId="9" xfId="0" applyFont="1" applyBorder="1"/>
    <xf numFmtId="0" fontId="8" fillId="0" borderId="1" xfId="0" quotePrefix="1" applyFont="1" applyBorder="1" applyAlignment="1">
      <alignment horizontal="center"/>
    </xf>
    <xf numFmtId="10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2" fontId="2" fillId="5" borderId="1" xfId="0" applyNumberFormat="1" applyFont="1" applyFill="1" applyBorder="1"/>
    <xf numFmtId="43" fontId="2" fillId="5" borderId="1" xfId="0" applyNumberFormat="1" applyFont="1" applyFill="1" applyBorder="1"/>
    <xf numFmtId="2" fontId="2" fillId="5" borderId="1" xfId="0" applyNumberFormat="1" applyFont="1" applyFill="1" applyBorder="1" applyAlignment="1">
      <alignment horizontal="right"/>
    </xf>
    <xf numFmtId="9" fontId="10" fillId="5" borderId="1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right"/>
    </xf>
    <xf numFmtId="10" fontId="8" fillId="0" borderId="1" xfId="0" applyNumberFormat="1" applyFont="1" applyBorder="1" applyAlignment="1">
      <alignment horizontal="right"/>
    </xf>
    <xf numFmtId="0" fontId="0" fillId="0" borderId="5" xfId="0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4" fillId="0" borderId="1" xfId="0" applyFont="1" applyBorder="1"/>
    <xf numFmtId="2" fontId="16" fillId="0" borderId="1" xfId="0" applyNumberFormat="1" applyFont="1" applyBorder="1" applyAlignment="1">
      <alignment horizontal="center"/>
    </xf>
    <xf numFmtId="2" fontId="16" fillId="0" borderId="6" xfId="0" applyNumberFormat="1" applyFont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4" fillId="5" borderId="1" xfId="0" applyFont="1" applyFill="1" applyBorder="1"/>
    <xf numFmtId="43" fontId="6" fillId="5" borderId="1" xfId="1" applyFont="1" applyFill="1" applyBorder="1"/>
    <xf numFmtId="0" fontId="17" fillId="0" borderId="1" xfId="0" applyFont="1" applyBorder="1"/>
    <xf numFmtId="10" fontId="16" fillId="0" borderId="1" xfId="0" applyNumberFormat="1" applyFont="1" applyBorder="1"/>
    <xf numFmtId="43" fontId="6" fillId="5" borderId="1" xfId="0" applyNumberFormat="1" applyFont="1" applyFill="1" applyBorder="1"/>
    <xf numFmtId="10" fontId="16" fillId="0" borderId="1" xfId="0" applyNumberFormat="1" applyFont="1" applyBorder="1" applyAlignment="1">
      <alignment horizontal="right"/>
    </xf>
    <xf numFmtId="2" fontId="6" fillId="5" borderId="1" xfId="0" applyNumberFormat="1" applyFont="1" applyFill="1" applyBorder="1"/>
    <xf numFmtId="0" fontId="17" fillId="0" borderId="0" xfId="0" applyFont="1"/>
    <xf numFmtId="0" fontId="18" fillId="5" borderId="1" xfId="0" applyFont="1" applyFill="1" applyBorder="1"/>
    <xf numFmtId="0" fontId="19" fillId="0" borderId="1" xfId="0" applyFont="1" applyBorder="1"/>
    <xf numFmtId="2" fontId="16" fillId="0" borderId="1" xfId="0" applyNumberFormat="1" applyFont="1" applyBorder="1"/>
    <xf numFmtId="0" fontId="6" fillId="5" borderId="1" xfId="0" applyFont="1" applyFill="1" applyBorder="1"/>
    <xf numFmtId="43" fontId="6" fillId="5" borderId="1" xfId="1" applyFont="1" applyFill="1" applyBorder="1" applyAlignment="1">
      <alignment horizontal="center"/>
    </xf>
    <xf numFmtId="0" fontId="16" fillId="0" borderId="1" xfId="0" applyFont="1" applyBorder="1"/>
    <xf numFmtId="0" fontId="4" fillId="0" borderId="1" xfId="0" applyFont="1" applyBorder="1" applyAlignment="1">
      <alignment horizontal="center"/>
    </xf>
    <xf numFmtId="43" fontId="4" fillId="6" borderId="1" xfId="0" applyNumberFormat="1" applyFont="1" applyFill="1" applyBorder="1"/>
    <xf numFmtId="9" fontId="4" fillId="0" borderId="1" xfId="0" applyNumberFormat="1" applyFont="1" applyBorder="1"/>
    <xf numFmtId="10" fontId="6" fillId="0" borderId="1" xfId="0" applyNumberFormat="1" applyFont="1" applyBorder="1"/>
    <xf numFmtId="3" fontId="21" fillId="0" borderId="0" xfId="0" applyNumberFormat="1" applyFont="1"/>
    <xf numFmtId="43" fontId="4" fillId="6" borderId="1" xfId="1" applyFont="1" applyFill="1" applyBorder="1"/>
    <xf numFmtId="10" fontId="4" fillId="0" borderId="1" xfId="0" applyNumberFormat="1" applyFont="1" applyBorder="1"/>
    <xf numFmtId="43" fontId="6" fillId="0" borderId="1" xfId="0" applyNumberFormat="1" applyFont="1" applyBorder="1"/>
    <xf numFmtId="9" fontId="6" fillId="0" borderId="1" xfId="0" applyNumberFormat="1" applyFont="1" applyBorder="1" applyAlignment="1">
      <alignment horizontal="center"/>
    </xf>
    <xf numFmtId="10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5" fontId="16" fillId="0" borderId="1" xfId="0" applyNumberFormat="1" applyFont="1" applyBorder="1" applyAlignment="1">
      <alignment horizontal="center"/>
    </xf>
    <xf numFmtId="0" fontId="21" fillId="5" borderId="1" xfId="0" applyFont="1" applyFill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center"/>
    </xf>
    <xf numFmtId="10" fontId="15" fillId="0" borderId="1" xfId="0" applyNumberFormat="1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43" fontId="6" fillId="0" borderId="1" xfId="1" applyFont="1" applyBorder="1"/>
    <xf numFmtId="164" fontId="6" fillId="0" borderId="2" xfId="0" applyNumberFormat="1" applyFont="1" applyBorder="1" applyAlignment="1">
      <alignment horizontal="center"/>
    </xf>
    <xf numFmtId="43" fontId="16" fillId="0" borderId="1" xfId="0" applyNumberFormat="1" applyFont="1" applyBorder="1"/>
    <xf numFmtId="43" fontId="15" fillId="8" borderId="1" xfId="0" applyNumberFormat="1" applyFont="1" applyFill="1" applyBorder="1"/>
    <xf numFmtId="167" fontId="6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10" fontId="6" fillId="5" borderId="1" xfId="0" applyNumberFormat="1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10" fontId="15" fillId="5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5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left"/>
    </xf>
    <xf numFmtId="0" fontId="5" fillId="3" borderId="7" xfId="0" applyFont="1" applyFill="1" applyBorder="1" applyAlignment="1">
      <alignment horizontal="left"/>
    </xf>
    <xf numFmtId="0" fontId="5" fillId="3" borderId="8" xfId="0" applyFont="1" applyFill="1" applyBorder="1" applyAlignment="1">
      <alignment horizontal="left"/>
    </xf>
    <xf numFmtId="43" fontId="2" fillId="3" borderId="1" xfId="1" applyFont="1" applyFill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0" fillId="0" borderId="5" xfId="0" applyBorder="1"/>
    <xf numFmtId="0" fontId="2" fillId="0" borderId="1" xfId="0" applyFont="1" applyBorder="1"/>
    <xf numFmtId="0" fontId="10" fillId="8" borderId="1" xfId="0" applyFont="1" applyFill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4" fillId="6" borderId="6" xfId="0" applyFont="1" applyFill="1" applyBorder="1" applyAlignment="1">
      <alignment vertical="center"/>
    </xf>
    <xf numFmtId="0" fontId="4" fillId="6" borderId="7" xfId="0" applyFont="1" applyFill="1" applyBorder="1" applyAlignment="1">
      <alignment vertical="center"/>
    </xf>
    <xf numFmtId="0" fontId="4" fillId="6" borderId="8" xfId="0" applyFont="1" applyFill="1" applyBorder="1" applyAlignment="1">
      <alignment vertical="center"/>
    </xf>
    <xf numFmtId="166" fontId="13" fillId="0" borderId="1" xfId="0" applyNumberFormat="1" applyFont="1" applyBorder="1"/>
    <xf numFmtId="0" fontId="2" fillId="5" borderId="1" xfId="0" applyFont="1" applyFill="1" applyBorder="1" applyAlignment="1">
      <alignment horizontal="left"/>
    </xf>
    <xf numFmtId="0" fontId="0" fillId="0" borderId="1" xfId="0" applyBorder="1"/>
    <xf numFmtId="0" fontId="8" fillId="0" borderId="1" xfId="0" applyFont="1" applyBorder="1"/>
    <xf numFmtId="0" fontId="2" fillId="5" borderId="1" xfId="0" applyFont="1" applyFill="1" applyBorder="1"/>
    <xf numFmtId="166" fontId="14" fillId="5" borderId="6" xfId="0" applyNumberFormat="1" applyFont="1" applyFill="1" applyBorder="1"/>
    <xf numFmtId="166" fontId="14" fillId="5" borderId="7" xfId="0" applyNumberFormat="1" applyFont="1" applyFill="1" applyBorder="1"/>
    <xf numFmtId="166" fontId="14" fillId="5" borderId="8" xfId="0" applyNumberFormat="1" applyFont="1" applyFill="1" applyBorder="1"/>
    <xf numFmtId="0" fontId="8" fillId="0" borderId="6" xfId="0" applyFont="1" applyBorder="1"/>
    <xf numFmtId="166" fontId="14" fillId="5" borderId="1" xfId="0" applyNumberFormat="1" applyFont="1" applyFill="1" applyBorder="1"/>
    <xf numFmtId="0" fontId="2" fillId="5" borderId="6" xfId="0" applyFont="1" applyFill="1" applyBorder="1"/>
    <xf numFmtId="0" fontId="2" fillId="5" borderId="7" xfId="0" applyFont="1" applyFill="1" applyBorder="1"/>
    <xf numFmtId="0" fontId="2" fillId="5" borderId="8" xfId="0" applyFont="1" applyFill="1" applyBorder="1"/>
    <xf numFmtId="166" fontId="13" fillId="0" borderId="6" xfId="0" applyNumberFormat="1" applyFont="1" applyBorder="1"/>
    <xf numFmtId="166" fontId="13" fillId="0" borderId="7" xfId="0" applyNumberFormat="1" applyFont="1" applyBorder="1"/>
    <xf numFmtId="166" fontId="13" fillId="0" borderId="8" xfId="0" applyNumberFormat="1" applyFont="1" applyBorder="1"/>
    <xf numFmtId="0" fontId="4" fillId="6" borderId="6" xfId="0" applyFont="1" applyFill="1" applyBorder="1"/>
    <xf numFmtId="0" fontId="4" fillId="6" borderId="7" xfId="0" applyFont="1" applyFill="1" applyBorder="1"/>
    <xf numFmtId="0" fontId="4" fillId="6" borderId="8" xfId="0" applyFont="1" applyFill="1" applyBorder="1"/>
    <xf numFmtId="0" fontId="22" fillId="10" borderId="1" xfId="0" applyFont="1" applyFill="1" applyBorder="1"/>
    <xf numFmtId="0" fontId="21" fillId="5" borderId="6" xfId="0" applyFont="1" applyFill="1" applyBorder="1" applyAlignment="1">
      <alignment horizontal="center"/>
    </xf>
    <xf numFmtId="0" fontId="21" fillId="5" borderId="7" xfId="0" applyFont="1" applyFill="1" applyBorder="1" applyAlignment="1">
      <alignment horizontal="center"/>
    </xf>
    <xf numFmtId="0" fontId="21" fillId="5" borderId="8" xfId="0" applyFont="1" applyFill="1" applyBorder="1" applyAlignment="1">
      <alignment horizontal="center"/>
    </xf>
    <xf numFmtId="0" fontId="15" fillId="8" borderId="6" xfId="0" applyFont="1" applyFill="1" applyBorder="1" applyAlignment="1">
      <alignment horizontal="center"/>
    </xf>
    <xf numFmtId="0" fontId="15" fillId="8" borderId="7" xfId="0" applyFont="1" applyFill="1" applyBorder="1" applyAlignment="1">
      <alignment horizontal="center"/>
    </xf>
    <xf numFmtId="0" fontId="15" fillId="8" borderId="8" xfId="0" applyFont="1" applyFill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9" fontId="15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8" borderId="1" xfId="0" applyFont="1" applyFill="1" applyBorder="1" applyAlignment="1">
      <alignment horizontal="center" wrapText="1"/>
    </xf>
    <xf numFmtId="0" fontId="16" fillId="8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1" xfId="0" applyFont="1" applyFill="1" applyBorder="1"/>
    <xf numFmtId="0" fontId="6" fillId="0" borderId="1" xfId="0" applyFont="1" applyBorder="1"/>
    <xf numFmtId="0" fontId="6" fillId="0" borderId="6" xfId="0" applyFont="1" applyBorder="1"/>
    <xf numFmtId="0" fontId="6" fillId="0" borderId="8" xfId="0" applyFont="1" applyBorder="1"/>
    <xf numFmtId="14" fontId="15" fillId="0" borderId="1" xfId="0" applyNumberFormat="1" applyFont="1" applyBorder="1" applyAlignment="1">
      <alignment horizontal="center"/>
    </xf>
    <xf numFmtId="0" fontId="4" fillId="6" borderId="2" xfId="0" applyFont="1" applyFill="1" applyBorder="1"/>
    <xf numFmtId="0" fontId="16" fillId="5" borderId="1" xfId="0" applyFont="1" applyFill="1" applyBorder="1" applyAlignment="1">
      <alignment horizontal="center"/>
    </xf>
    <xf numFmtId="0" fontId="16" fillId="7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0" fillId="0" borderId="6" xfId="0" applyFont="1" applyBorder="1"/>
    <xf numFmtId="0" fontId="20" fillId="0" borderId="8" xfId="0" applyFont="1" applyBorder="1"/>
    <xf numFmtId="2" fontId="6" fillId="0" borderId="1" xfId="0" applyNumberFormat="1" applyFont="1" applyBorder="1"/>
    <xf numFmtId="43" fontId="6" fillId="0" borderId="1" xfId="0" applyNumberFormat="1" applyFont="1" applyBorder="1"/>
    <xf numFmtId="43" fontId="4" fillId="0" borderId="1" xfId="0" applyNumberFormat="1" applyFont="1" applyBorder="1"/>
    <xf numFmtId="0" fontId="4" fillId="0" borderId="1" xfId="0" applyFont="1" applyBorder="1"/>
    <xf numFmtId="0" fontId="17" fillId="0" borderId="1" xfId="0" applyFont="1" applyBorder="1"/>
    <xf numFmtId="0" fontId="17" fillId="0" borderId="6" xfId="0" applyFont="1" applyBorder="1"/>
    <xf numFmtId="0" fontId="17" fillId="0" borderId="8" xfId="0" applyFont="1" applyBorder="1"/>
    <xf numFmtId="10" fontId="16" fillId="0" borderId="1" xfId="0" applyNumberFormat="1" applyFont="1" applyBorder="1"/>
    <xf numFmtId="43" fontId="6" fillId="0" borderId="1" xfId="1" applyFont="1" applyBorder="1"/>
    <xf numFmtId="43" fontId="4" fillId="0" borderId="1" xfId="1" applyFont="1" applyBorder="1"/>
    <xf numFmtId="0" fontId="20" fillId="0" borderId="1" xfId="0" applyFont="1" applyBorder="1"/>
    <xf numFmtId="0" fontId="1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3" fillId="8" borderId="10" xfId="0" applyFont="1" applyFill="1" applyBorder="1" applyAlignment="1">
      <alignment horizontal="center" vertical="center"/>
    </xf>
    <xf numFmtId="0" fontId="23" fillId="8" borderId="9" xfId="0" applyFont="1" applyFill="1" applyBorder="1" applyAlignment="1">
      <alignment horizontal="center" vertical="center"/>
    </xf>
    <xf numFmtId="0" fontId="23" fillId="8" borderId="12" xfId="0" applyFont="1" applyFill="1" applyBorder="1" applyAlignment="1">
      <alignment horizontal="center" vertical="center"/>
    </xf>
    <xf numFmtId="0" fontId="23" fillId="8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/>
    </xf>
    <xf numFmtId="0" fontId="23" fillId="8" borderId="14" xfId="0" applyFont="1" applyFill="1" applyBorder="1" applyAlignment="1">
      <alignment horizontal="center" vertical="center"/>
    </xf>
    <xf numFmtId="0" fontId="23" fillId="8" borderId="11" xfId="0" applyFont="1" applyFill="1" applyBorder="1" applyAlignment="1">
      <alignment horizontal="center" vertical="center"/>
    </xf>
    <xf numFmtId="0" fontId="23" fillId="8" borderId="3" xfId="0" applyFont="1" applyFill="1" applyBorder="1" applyAlignment="1">
      <alignment horizontal="center" vertical="center"/>
    </xf>
    <xf numFmtId="0" fontId="23" fillId="8" borderId="4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0" fillId="7" borderId="6" xfId="0" applyFill="1" applyBorder="1"/>
    <xf numFmtId="0" fontId="0" fillId="7" borderId="8" xfId="0" applyFill="1" applyBorder="1"/>
    <xf numFmtId="0" fontId="10" fillId="7" borderId="6" xfId="0" applyFont="1" applyFill="1" applyBorder="1"/>
    <xf numFmtId="0" fontId="10" fillId="7" borderId="7" xfId="0" applyFont="1" applyFill="1" applyBorder="1"/>
    <xf numFmtId="0" fontId="10" fillId="7" borderId="8" xfId="0" applyFont="1" applyFill="1" applyBorder="1"/>
    <xf numFmtId="0" fontId="10" fillId="7" borderId="6" xfId="0" applyFont="1" applyFill="1" applyBorder="1" applyAlignment="1">
      <alignment vertical="center"/>
    </xf>
    <xf numFmtId="0" fontId="10" fillId="7" borderId="7" xfId="0" applyFont="1" applyFill="1" applyBorder="1" applyAlignment="1">
      <alignment vertical="center"/>
    </xf>
    <xf numFmtId="0" fontId="10" fillId="7" borderId="8" xfId="0" applyFont="1" applyFill="1" applyBorder="1" applyAlignment="1">
      <alignment vertical="center"/>
    </xf>
    <xf numFmtId="0" fontId="0" fillId="7" borderId="6" xfId="0" applyFill="1" applyBorder="1" applyAlignment="1">
      <alignment vertical="center"/>
    </xf>
    <xf numFmtId="0" fontId="0" fillId="7" borderId="8" xfId="0" applyFill="1" applyBorder="1" applyAlignment="1">
      <alignment vertical="center"/>
    </xf>
    <xf numFmtId="0" fontId="24" fillId="7" borderId="10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 wrapText="1"/>
    </xf>
    <xf numFmtId="0" fontId="24" fillId="7" borderId="12" xfId="0" applyFont="1" applyFill="1" applyBorder="1" applyAlignment="1">
      <alignment horizontal="center" vertical="center" wrapText="1"/>
    </xf>
    <xf numFmtId="0" fontId="24" fillId="7" borderId="11" xfId="0" applyFont="1" applyFill="1" applyBorder="1" applyAlignment="1">
      <alignment horizontal="center" vertical="center" wrapText="1"/>
    </xf>
    <xf numFmtId="0" fontId="24" fillId="7" borderId="3" xfId="0" applyFont="1" applyFill="1" applyBorder="1" applyAlignment="1">
      <alignment horizontal="center" vertical="center" wrapText="1"/>
    </xf>
    <xf numFmtId="0" fontId="24" fillId="7" borderId="4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creener.in/company/TATAMOTORS/consolidated/" TargetMode="External"/><Relationship Id="rId1" Type="http://schemas.openxmlformats.org/officeDocument/2006/relationships/hyperlink" Target="https://finance.yahoo.com/quote/TATAMOTORS.NS/key-statistics/?p=TATAMOTORS.NS&amp;guce_referrer=aHR0cHM6Ly9jaGF0Z3B0LmNvbS8&amp;guce_referrer_sig=AQAAANOwcBfdktZnbfxGC8Tz3gdo1k4UYJ2yQPAS2m8kt_Ypx3NHdDH6qxruTXUR-lfS8EFq3P4_6N1G6FVMfMaiHSpapqajMAsXVn_aueWaAfoaEcRK6wo1pbJ6zKlX8zz587G6IpNq3ephKQW-ytt_ytewiTb0FzJMJ2FX2htuoLBo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AC48E-DCBF-4E6C-89E8-4456A4B86A37}">
  <dimension ref="A1:F19"/>
  <sheetViews>
    <sheetView workbookViewId="0">
      <selection activeCell="E28" sqref="E28"/>
    </sheetView>
  </sheetViews>
  <sheetFormatPr defaultRowHeight="14.4" x14ac:dyDescent="0.3"/>
  <cols>
    <col min="1" max="1" width="28.77734375" style="1" bestFit="1" customWidth="1"/>
    <col min="2" max="2" width="15.5546875" style="1" customWidth="1"/>
    <col min="3" max="3" width="13.21875" style="1" bestFit="1" customWidth="1"/>
    <col min="4" max="5" width="8.88671875" style="1"/>
    <col min="6" max="6" width="18.77734375" style="1" bestFit="1" customWidth="1"/>
    <col min="7" max="16384" width="8.88671875" style="1"/>
  </cols>
  <sheetData>
    <row r="1" spans="1:6" x14ac:dyDescent="0.3">
      <c r="A1" s="3" t="s">
        <v>10</v>
      </c>
      <c r="B1" s="3" t="s">
        <v>0</v>
      </c>
      <c r="C1" s="3" t="s">
        <v>1</v>
      </c>
    </row>
    <row r="2" spans="1:6" x14ac:dyDescent="0.3">
      <c r="A2" s="1" t="s">
        <v>2</v>
      </c>
      <c r="B2" s="1" t="s">
        <v>3</v>
      </c>
    </row>
    <row r="3" spans="1:6" x14ac:dyDescent="0.3">
      <c r="A3" s="1" t="s">
        <v>4</v>
      </c>
      <c r="B3" s="1" t="s">
        <v>5</v>
      </c>
    </row>
    <row r="4" spans="1:6" x14ac:dyDescent="0.3">
      <c r="A4" s="1" t="s">
        <v>6</v>
      </c>
      <c r="B4" s="2">
        <v>6.5000000000000002E-2</v>
      </c>
      <c r="C4" s="1" t="s">
        <v>7</v>
      </c>
    </row>
    <row r="5" spans="1:6" x14ac:dyDescent="0.3">
      <c r="A5" s="1" t="s">
        <v>8</v>
      </c>
      <c r="B5" s="1">
        <v>1.01</v>
      </c>
      <c r="C5" s="4" t="s">
        <v>23</v>
      </c>
    </row>
    <row r="6" spans="1:6" x14ac:dyDescent="0.3">
      <c r="A6" s="1" t="s">
        <v>9</v>
      </c>
      <c r="B6" s="5">
        <v>0.05</v>
      </c>
    </row>
    <row r="7" spans="1:6" x14ac:dyDescent="0.3">
      <c r="A7" s="1" t="s">
        <v>11</v>
      </c>
      <c r="B7" s="5">
        <v>0.09</v>
      </c>
      <c r="C7" s="1" t="s">
        <v>24</v>
      </c>
    </row>
    <row r="8" spans="1:6" x14ac:dyDescent="0.3">
      <c r="A8" s="1" t="s">
        <v>12</v>
      </c>
      <c r="B8" s="5">
        <v>0.26</v>
      </c>
      <c r="C8" s="1" t="s">
        <v>24</v>
      </c>
    </row>
    <row r="9" spans="1:6" x14ac:dyDescent="0.3">
      <c r="A9" s="1" t="s">
        <v>13</v>
      </c>
      <c r="B9" s="1">
        <v>0.4</v>
      </c>
      <c r="C9" s="4" t="s">
        <v>25</v>
      </c>
    </row>
    <row r="10" spans="1:6" x14ac:dyDescent="0.3">
      <c r="A10" s="1" t="s">
        <v>14</v>
      </c>
    </row>
    <row r="11" spans="1:6" x14ac:dyDescent="0.3">
      <c r="A11" s="1" t="s">
        <v>15</v>
      </c>
    </row>
    <row r="12" spans="1:6" x14ac:dyDescent="0.3">
      <c r="A12" s="1" t="s">
        <v>16</v>
      </c>
      <c r="B12" s="5">
        <v>0.1</v>
      </c>
      <c r="C12" s="1" t="s">
        <v>26</v>
      </c>
    </row>
    <row r="13" spans="1:6" x14ac:dyDescent="0.3">
      <c r="A13" s="1" t="s">
        <v>17</v>
      </c>
      <c r="B13" s="2">
        <v>8.5000000000000006E-2</v>
      </c>
      <c r="C13" s="5">
        <v>0.08</v>
      </c>
      <c r="D13" s="2">
        <v>7.4999999999999997E-2</v>
      </c>
      <c r="E13" s="5">
        <v>7.0000000000000007E-2</v>
      </c>
      <c r="F13" s="1" t="s">
        <v>27</v>
      </c>
    </row>
    <row r="14" spans="1:6" x14ac:dyDescent="0.3">
      <c r="A14" s="1" t="s">
        <v>28</v>
      </c>
      <c r="B14" s="2">
        <v>7.4999999999999997E-2</v>
      </c>
      <c r="F14" s="2">
        <v>9.5000000000000001E-2</v>
      </c>
    </row>
    <row r="15" spans="1:6" x14ac:dyDescent="0.3">
      <c r="A15" s="1" t="s">
        <v>20</v>
      </c>
      <c r="B15" s="2">
        <v>5.5E-2</v>
      </c>
    </row>
    <row r="16" spans="1:6" x14ac:dyDescent="0.3">
      <c r="A16" s="1" t="s">
        <v>19</v>
      </c>
    </row>
    <row r="17" spans="1:1" x14ac:dyDescent="0.3">
      <c r="A17" s="1" t="s">
        <v>18</v>
      </c>
    </row>
    <row r="18" spans="1:1" x14ac:dyDescent="0.3">
      <c r="A18" s="1" t="s">
        <v>21</v>
      </c>
    </row>
    <row r="19" spans="1:1" x14ac:dyDescent="0.3">
      <c r="A19" s="1" t="s">
        <v>22</v>
      </c>
    </row>
  </sheetData>
  <hyperlinks>
    <hyperlink ref="C5" r:id="rId1" xr:uid="{5350685F-A95E-4631-86D1-DC32093C9F70}"/>
    <hyperlink ref="C9" r:id="rId2" location="balance-sheet" xr:uid="{F12B8600-8854-4082-AD80-A180561740C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BD6AF-7C33-4247-8366-56DCE9931C26}">
  <dimension ref="B3:V7"/>
  <sheetViews>
    <sheetView tabSelected="1" workbookViewId="0">
      <selection activeCell="S10" sqref="S10"/>
    </sheetView>
  </sheetViews>
  <sheetFormatPr defaultRowHeight="14.4" x14ac:dyDescent="0.3"/>
  <cols>
    <col min="22" max="22" width="13.44140625" customWidth="1"/>
  </cols>
  <sheetData>
    <row r="3" spans="2:22" x14ac:dyDescent="0.3">
      <c r="B3" s="238" t="s">
        <v>225</v>
      </c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40"/>
    </row>
    <row r="4" spans="2:22" x14ac:dyDescent="0.3">
      <c r="B4" s="241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3"/>
    </row>
    <row r="5" spans="2:22" x14ac:dyDescent="0.3">
      <c r="B5" s="244"/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6"/>
    </row>
    <row r="6" spans="2:22" x14ac:dyDescent="0.3">
      <c r="B6" s="247" t="s">
        <v>226</v>
      </c>
      <c r="C6" s="247"/>
      <c r="D6" s="247"/>
      <c r="E6" s="247"/>
      <c r="F6" s="247"/>
      <c r="G6" s="247"/>
      <c r="H6" s="247"/>
      <c r="I6" s="247"/>
      <c r="J6" s="247"/>
      <c r="K6" s="247"/>
      <c r="L6" s="250" t="s">
        <v>230</v>
      </c>
      <c r="M6" s="251"/>
      <c r="N6" s="252"/>
      <c r="O6" s="248" t="s">
        <v>228</v>
      </c>
      <c r="P6" s="249"/>
      <c r="Q6" s="258" t="s">
        <v>231</v>
      </c>
      <c r="R6" s="259"/>
      <c r="S6" s="259"/>
      <c r="T6" s="259"/>
      <c r="U6" s="259"/>
      <c r="V6" s="260"/>
    </row>
    <row r="7" spans="2:22" ht="34.200000000000003" customHeight="1" x14ac:dyDescent="0.3"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53" t="s">
        <v>227</v>
      </c>
      <c r="M7" s="254"/>
      <c r="N7" s="255"/>
      <c r="O7" s="256" t="s">
        <v>229</v>
      </c>
      <c r="P7" s="257"/>
      <c r="Q7" s="261"/>
      <c r="R7" s="262"/>
      <c r="S7" s="262"/>
      <c r="T7" s="262"/>
      <c r="U7" s="262"/>
      <c r="V7" s="263"/>
    </row>
  </sheetData>
  <mergeCells count="7">
    <mergeCell ref="B3:V5"/>
    <mergeCell ref="B6:K7"/>
    <mergeCell ref="L6:N6"/>
    <mergeCell ref="L7:N7"/>
    <mergeCell ref="O6:P6"/>
    <mergeCell ref="O7:P7"/>
    <mergeCell ref="Q6:V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E830C-637A-4470-8D8A-6F742265035D}">
  <dimension ref="B2:N23"/>
  <sheetViews>
    <sheetView workbookViewId="0">
      <selection activeCell="D11" sqref="D11"/>
    </sheetView>
  </sheetViews>
  <sheetFormatPr defaultRowHeight="14.4" x14ac:dyDescent="0.3"/>
  <cols>
    <col min="3" max="3" width="25.44140625" customWidth="1"/>
    <col min="4" max="4" width="12.5546875" bestFit="1" customWidth="1"/>
    <col min="5" max="5" width="19.5546875" bestFit="1" customWidth="1"/>
    <col min="6" max="6" width="10" bestFit="1" customWidth="1"/>
    <col min="7" max="7" width="23.77734375" customWidth="1"/>
    <col min="8" max="8" width="10" bestFit="1" customWidth="1"/>
    <col min="14" max="14" width="10" bestFit="1" customWidth="1"/>
  </cols>
  <sheetData>
    <row r="2" spans="2:14" ht="18" x14ac:dyDescent="0.35">
      <c r="B2" s="131" t="s">
        <v>29</v>
      </c>
      <c r="C2" s="131"/>
      <c r="D2" s="131"/>
      <c r="K2" s="130" t="s">
        <v>59</v>
      </c>
      <c r="L2" s="130"/>
      <c r="M2" s="130"/>
      <c r="N2" s="130"/>
    </row>
    <row r="3" spans="2:14" ht="15.6" x14ac:dyDescent="0.3">
      <c r="B3" s="129" t="s">
        <v>30</v>
      </c>
      <c r="C3" s="129"/>
      <c r="D3" s="129"/>
      <c r="E3" s="129"/>
      <c r="F3" s="129"/>
      <c r="G3" s="129"/>
      <c r="H3" s="129"/>
      <c r="I3" s="129"/>
      <c r="K3" s="128" t="s">
        <v>40</v>
      </c>
      <c r="L3" s="128"/>
      <c r="M3" s="128"/>
      <c r="N3" s="11">
        <f>509+246+101</f>
        <v>856</v>
      </c>
    </row>
    <row r="4" spans="2:14" x14ac:dyDescent="0.3">
      <c r="B4" s="128" t="s">
        <v>31</v>
      </c>
      <c r="C4" s="128"/>
      <c r="D4" s="7">
        <v>45747</v>
      </c>
      <c r="E4" s="128" t="s">
        <v>152</v>
      </c>
      <c r="F4" s="128"/>
      <c r="G4" s="7">
        <v>46112</v>
      </c>
      <c r="K4" s="128" t="s">
        <v>39</v>
      </c>
      <c r="L4" s="128"/>
      <c r="M4" s="128"/>
      <c r="N4" s="12">
        <v>192</v>
      </c>
    </row>
    <row r="5" spans="2:14" x14ac:dyDescent="0.3">
      <c r="B5" s="128" t="s">
        <v>32</v>
      </c>
      <c r="C5" s="128"/>
      <c r="D5" s="6" t="s">
        <v>51</v>
      </c>
    </row>
    <row r="7" spans="2:14" ht="15.6" x14ac:dyDescent="0.3">
      <c r="B7" s="132" t="s">
        <v>33</v>
      </c>
      <c r="C7" s="133"/>
      <c r="D7" s="133"/>
      <c r="E7" s="133"/>
      <c r="F7" s="133"/>
      <c r="G7" s="133"/>
      <c r="H7" s="133"/>
      <c r="I7" s="134"/>
    </row>
    <row r="8" spans="2:14" x14ac:dyDescent="0.3">
      <c r="B8" s="128" t="s">
        <v>34</v>
      </c>
      <c r="C8" s="128"/>
      <c r="D8" s="11">
        <v>1523</v>
      </c>
    </row>
    <row r="9" spans="2:14" x14ac:dyDescent="0.3">
      <c r="B9" s="128" t="s">
        <v>35</v>
      </c>
      <c r="C9" s="128"/>
      <c r="D9" s="12">
        <f>H9/F9</f>
        <v>17.214043035107586</v>
      </c>
      <c r="E9" s="6" t="s">
        <v>56</v>
      </c>
      <c r="F9" s="6">
        <v>8.83</v>
      </c>
      <c r="G9" s="6" t="s">
        <v>57</v>
      </c>
      <c r="H9" s="6">
        <v>152</v>
      </c>
    </row>
    <row r="10" spans="2:14" x14ac:dyDescent="0.3">
      <c r="B10" s="128" t="s">
        <v>36</v>
      </c>
      <c r="C10" s="128"/>
      <c r="D10" s="13">
        <f>D8*D9</f>
        <v>26216.987542468854</v>
      </c>
    </row>
    <row r="11" spans="2:14" x14ac:dyDescent="0.3">
      <c r="B11" s="128" t="s">
        <v>37</v>
      </c>
      <c r="C11" s="128"/>
      <c r="D11" s="13">
        <f>N3-N4</f>
        <v>664</v>
      </c>
      <c r="E11" s="135" t="s">
        <v>58</v>
      </c>
      <c r="F11" s="135"/>
      <c r="G11" s="135"/>
      <c r="H11" s="10"/>
    </row>
    <row r="13" spans="2:14" ht="15.6" x14ac:dyDescent="0.3">
      <c r="B13" s="129" t="s">
        <v>38</v>
      </c>
      <c r="C13" s="129"/>
      <c r="D13" s="14">
        <f>D10+D11</f>
        <v>26880.987542468854</v>
      </c>
    </row>
    <row r="23" spans="6:6" x14ac:dyDescent="0.3">
      <c r="F23" s="9"/>
    </row>
  </sheetData>
  <mergeCells count="15">
    <mergeCell ref="B9:C9"/>
    <mergeCell ref="B10:C10"/>
    <mergeCell ref="B11:C11"/>
    <mergeCell ref="B13:C13"/>
    <mergeCell ref="K2:N2"/>
    <mergeCell ref="K3:M3"/>
    <mergeCell ref="K4:M4"/>
    <mergeCell ref="B2:D2"/>
    <mergeCell ref="B3:I3"/>
    <mergeCell ref="B4:C4"/>
    <mergeCell ref="B5:C5"/>
    <mergeCell ref="B7:I7"/>
    <mergeCell ref="B8:C8"/>
    <mergeCell ref="E11:G11"/>
    <mergeCell ref="E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F0A7-ED8D-4929-A62B-FD9E1B8667F0}">
  <dimension ref="A1:U39"/>
  <sheetViews>
    <sheetView zoomScale="71" zoomScaleNormal="89" workbookViewId="0">
      <selection activeCell="K18" sqref="K18"/>
    </sheetView>
  </sheetViews>
  <sheetFormatPr defaultRowHeight="14.4" x14ac:dyDescent="0.3"/>
  <cols>
    <col min="5" max="5" width="10.6640625" bestFit="1" customWidth="1"/>
    <col min="6" max="6" width="10.44140625" customWidth="1"/>
    <col min="7" max="8" width="10.5546875" bestFit="1" customWidth="1"/>
    <col min="9" max="10" width="11.6640625" bestFit="1" customWidth="1"/>
    <col min="12" max="12" width="52.77734375" bestFit="1" customWidth="1"/>
    <col min="13" max="13" width="10.44140625" bestFit="1" customWidth="1"/>
    <col min="14" max="14" width="29.5546875" bestFit="1" customWidth="1"/>
    <col min="15" max="15" width="12.109375" bestFit="1" customWidth="1"/>
    <col min="16" max="16" width="8.88671875" customWidth="1"/>
    <col min="19" max="19" width="16" customWidth="1"/>
  </cols>
  <sheetData>
    <row r="1" spans="1:17" ht="18" x14ac:dyDescent="0.35">
      <c r="A1" s="151" t="s">
        <v>41</v>
      </c>
      <c r="B1" s="152"/>
      <c r="C1" s="152"/>
      <c r="D1" s="152"/>
      <c r="E1" s="26"/>
      <c r="F1">
        <v>1818</v>
      </c>
      <c r="G1">
        <f>N13</f>
        <v>1039.8</v>
      </c>
    </row>
    <row r="3" spans="1:17" x14ac:dyDescent="0.3">
      <c r="B3" s="149"/>
      <c r="C3" s="149"/>
      <c r="D3" s="150"/>
      <c r="E3" s="56" t="s">
        <v>107</v>
      </c>
      <c r="F3" s="153" t="s">
        <v>66</v>
      </c>
      <c r="G3" s="153"/>
      <c r="H3" s="153"/>
      <c r="I3" s="153"/>
      <c r="J3" s="153"/>
    </row>
    <row r="4" spans="1:17" x14ac:dyDescent="0.3">
      <c r="B4" s="128" t="s">
        <v>42</v>
      </c>
      <c r="C4" s="144"/>
      <c r="D4" s="144"/>
      <c r="E4" s="6" t="s">
        <v>64</v>
      </c>
      <c r="F4" s="6" t="s">
        <v>52</v>
      </c>
      <c r="G4" s="6" t="s">
        <v>43</v>
      </c>
      <c r="H4" s="6" t="s">
        <v>44</v>
      </c>
      <c r="I4" s="6" t="s">
        <v>45</v>
      </c>
      <c r="J4" s="6" t="s">
        <v>53</v>
      </c>
      <c r="L4" s="6" t="s">
        <v>60</v>
      </c>
      <c r="M4" s="24">
        <f>AVERAGE(4.4%,38.2%,35.05%,76.28%,46.54%)</f>
        <v>0.40093999999999996</v>
      </c>
      <c r="N4" s="6" t="s">
        <v>54</v>
      </c>
      <c r="O4" s="25">
        <f>M5+(M5*M4)</f>
        <v>3732.1041599999999</v>
      </c>
    </row>
    <row r="5" spans="1:17" x14ac:dyDescent="0.3">
      <c r="B5" s="128" t="s">
        <v>49</v>
      </c>
      <c r="C5" s="128"/>
      <c r="D5" s="128"/>
      <c r="E5" s="12">
        <v>2664</v>
      </c>
      <c r="F5" s="12">
        <f>O4</f>
        <v>3732.1041599999999</v>
      </c>
      <c r="G5" s="18">
        <f>F5+(F5*G6)</f>
        <v>5038.3406159999995</v>
      </c>
      <c r="H5" s="18">
        <f t="shared" ref="H5:J5" si="0">G5+(G5*H6)</f>
        <v>6549.8428007999992</v>
      </c>
      <c r="I5" s="18">
        <f t="shared" si="0"/>
        <v>8187.3035009999985</v>
      </c>
      <c r="J5" s="18">
        <f t="shared" si="0"/>
        <v>9824.7642011999978</v>
      </c>
      <c r="L5" s="19" t="s">
        <v>55</v>
      </c>
      <c r="M5" s="23">
        <f>E5</f>
        <v>2664</v>
      </c>
    </row>
    <row r="6" spans="1:17" ht="43.2" x14ac:dyDescent="0.3">
      <c r="B6" s="154" t="s">
        <v>46</v>
      </c>
      <c r="C6" s="154"/>
      <c r="D6" s="154"/>
      <c r="E6" s="22" t="s">
        <v>65</v>
      </c>
      <c r="F6" s="27">
        <v>0.4</v>
      </c>
      <c r="G6" s="27">
        <v>0.35</v>
      </c>
      <c r="H6" s="27">
        <f>G6-5%</f>
        <v>0.3</v>
      </c>
      <c r="I6" s="27">
        <f t="shared" ref="I6:J6" si="1">H6-5%</f>
        <v>0.25</v>
      </c>
      <c r="J6" s="27">
        <f t="shared" si="1"/>
        <v>0.2</v>
      </c>
      <c r="L6" s="21" t="s">
        <v>61</v>
      </c>
      <c r="M6" s="22" t="s">
        <v>62</v>
      </c>
      <c r="N6" s="65" t="s">
        <v>63</v>
      </c>
    </row>
    <row r="7" spans="1:17" x14ac:dyDescent="0.3">
      <c r="B7" s="128" t="s">
        <v>50</v>
      </c>
      <c r="C7" s="128"/>
      <c r="D7" s="128"/>
      <c r="E7" s="37">
        <f>M13</f>
        <v>1452.4799999999998</v>
      </c>
      <c r="F7" s="20">
        <f ca="1">F5*F8</f>
        <v>2038.4013225599992</v>
      </c>
      <c r="G7" s="20">
        <f t="shared" ref="G7:J7" ca="1" si="2">G5*G8</f>
        <v>2756.6531737919991</v>
      </c>
      <c r="H7" s="20">
        <f t="shared" ca="1" si="2"/>
        <v>3589.9039307663993</v>
      </c>
      <c r="I7" s="20">
        <f t="shared" ca="1" si="2"/>
        <v>4495.1984195039995</v>
      </c>
      <c r="J7" s="20">
        <f t="shared" si="2"/>
        <v>5403.6203106599996</v>
      </c>
    </row>
    <row r="8" spans="1:17" x14ac:dyDescent="0.3">
      <c r="B8" s="144" t="s">
        <v>47</v>
      </c>
      <c r="C8" s="144"/>
      <c r="D8" s="144"/>
      <c r="E8" s="35">
        <f>E7/E5</f>
        <v>0.5452252252252251</v>
      </c>
      <c r="F8" s="44">
        <f ca="1">AVERAGE(E8,G8)</f>
        <v>0.54618018018018</v>
      </c>
      <c r="G8" s="44">
        <f t="shared" ref="G8:I8" ca="1" si="3">AVERAGE(F8,H8)</f>
        <v>0.54713513513513501</v>
      </c>
      <c r="H8" s="44">
        <f t="shared" ca="1" si="3"/>
        <v>0.54809009009009002</v>
      </c>
      <c r="I8" s="44">
        <f t="shared" ca="1" si="3"/>
        <v>0.54904504504504503</v>
      </c>
      <c r="J8" s="45">
        <v>0.55000000000000004</v>
      </c>
      <c r="L8" s="32" t="s">
        <v>93</v>
      </c>
      <c r="M8" s="33" t="s">
        <v>68</v>
      </c>
      <c r="N8" t="s">
        <v>106</v>
      </c>
      <c r="O8" t="s">
        <v>146</v>
      </c>
    </row>
    <row r="9" spans="1:17" x14ac:dyDescent="0.3">
      <c r="B9" s="128" t="s">
        <v>67</v>
      </c>
      <c r="C9" s="128"/>
      <c r="D9" s="128"/>
      <c r="E9" s="37">
        <v>681.48</v>
      </c>
      <c r="F9" s="18">
        <f>E9-(E9*2%)</f>
        <v>667.85040000000004</v>
      </c>
      <c r="G9" s="18">
        <f t="shared" ref="G9:J9" si="4">F9-(F9*2%)</f>
        <v>654.49339200000009</v>
      </c>
      <c r="H9" s="18">
        <f t="shared" si="4"/>
        <v>641.40352416000007</v>
      </c>
      <c r="I9" s="18">
        <f t="shared" si="4"/>
        <v>628.57545367680007</v>
      </c>
      <c r="J9" s="18">
        <f t="shared" si="4"/>
        <v>616.00394460326402</v>
      </c>
      <c r="L9" s="30" t="s">
        <v>69</v>
      </c>
      <c r="M9" s="20">
        <v>2664</v>
      </c>
      <c r="N9">
        <v>1818</v>
      </c>
      <c r="O9">
        <v>1031</v>
      </c>
    </row>
    <row r="10" spans="1:17" x14ac:dyDescent="0.3">
      <c r="B10" s="128" t="s">
        <v>110</v>
      </c>
      <c r="C10" s="128"/>
      <c r="D10" s="128"/>
      <c r="E10" s="37">
        <f>E7-E9</f>
        <v>770.99999999999977</v>
      </c>
      <c r="F10" s="20">
        <f ca="1">F7-F9</f>
        <v>1370.5509225599992</v>
      </c>
      <c r="G10" s="20">
        <f t="shared" ref="G10:J10" ca="1" si="5">G7-G9</f>
        <v>2102.1597817919992</v>
      </c>
      <c r="H10" s="20">
        <f t="shared" ca="1" si="5"/>
        <v>2948.5004066063993</v>
      </c>
      <c r="I10" s="20">
        <f t="shared" ca="1" si="5"/>
        <v>3866.6229658271996</v>
      </c>
      <c r="J10" s="20">
        <f t="shared" si="5"/>
        <v>4787.6163660567354</v>
      </c>
      <c r="L10" s="31" t="s">
        <v>73</v>
      </c>
      <c r="M10" s="15">
        <f>1893*8%</f>
        <v>151.44</v>
      </c>
      <c r="N10">
        <f>1297*7%</f>
        <v>90.79</v>
      </c>
      <c r="O10">
        <f>639*5%</f>
        <v>31.950000000000003</v>
      </c>
    </row>
    <row r="11" spans="1:17" x14ac:dyDescent="0.3">
      <c r="B11" s="145" t="s">
        <v>48</v>
      </c>
      <c r="C11" s="145"/>
      <c r="D11" s="145"/>
      <c r="E11" s="36">
        <f>E10/E5</f>
        <v>0.28941441441441434</v>
      </c>
      <c r="F11" s="47">
        <f ca="1">F10/F5</f>
        <v>0.36723276302127628</v>
      </c>
      <c r="G11" s="47">
        <f t="shared" ref="G11:I11" ca="1" si="6">G10/G5</f>
        <v>0.41723256564200489</v>
      </c>
      <c r="H11" s="47">
        <f t="shared" ca="1" si="6"/>
        <v>0.45016353770296119</v>
      </c>
      <c r="I11" s="47">
        <f t="shared" ca="1" si="6"/>
        <v>0.47227062797353603</v>
      </c>
      <c r="J11" s="47">
        <f>J10/J5</f>
        <v>0.48730089272493432</v>
      </c>
      <c r="L11" s="31" t="s">
        <v>70</v>
      </c>
      <c r="M11" s="15">
        <f>1893*56%</f>
        <v>1060.0800000000002</v>
      </c>
      <c r="N11">
        <f>1297*53%</f>
        <v>687.41000000000008</v>
      </c>
      <c r="O11">
        <f>639*48%</f>
        <v>306.71999999999997</v>
      </c>
    </row>
    <row r="12" spans="1:17" x14ac:dyDescent="0.3">
      <c r="B12" s="128" t="s">
        <v>74</v>
      </c>
      <c r="C12" s="128"/>
      <c r="D12" s="128"/>
      <c r="E12" s="34">
        <v>91</v>
      </c>
      <c r="F12" s="17">
        <f>E12-(E12*1%)</f>
        <v>90.09</v>
      </c>
      <c r="G12" s="43">
        <f t="shared" ref="G12:J12" si="7">F12-(F12*1%)</f>
        <v>89.189099999999996</v>
      </c>
      <c r="H12" s="43">
        <f t="shared" si="7"/>
        <v>88.297208999999995</v>
      </c>
      <c r="I12" s="43">
        <f t="shared" si="7"/>
        <v>87.41423691</v>
      </c>
      <c r="J12" s="43">
        <f t="shared" si="7"/>
        <v>86.5400945409</v>
      </c>
      <c r="L12" s="30" t="s">
        <v>71</v>
      </c>
      <c r="M12" s="6">
        <f>M11+M10</f>
        <v>1211.5200000000002</v>
      </c>
      <c r="N12">
        <f>SUM(N10:N11)</f>
        <v>778.2</v>
      </c>
      <c r="O12">
        <f>SUM(O10:O11)</f>
        <v>338.66999999999996</v>
      </c>
    </row>
    <row r="13" spans="1:17" x14ac:dyDescent="0.3">
      <c r="B13" s="128" t="s">
        <v>75</v>
      </c>
      <c r="C13" s="128"/>
      <c r="D13" s="128"/>
      <c r="E13" s="34">
        <v>113</v>
      </c>
      <c r="F13" s="34">
        <v>113</v>
      </c>
      <c r="G13" s="34">
        <v>113</v>
      </c>
      <c r="H13" s="34">
        <v>113</v>
      </c>
      <c r="I13" s="34">
        <v>113</v>
      </c>
      <c r="J13" s="34">
        <v>113</v>
      </c>
      <c r="L13" s="17" t="s">
        <v>72</v>
      </c>
      <c r="M13" s="20">
        <f>M9-M12</f>
        <v>1452.4799999999998</v>
      </c>
      <c r="N13">
        <f>N9-N12</f>
        <v>1039.8</v>
      </c>
      <c r="O13">
        <f>O9-O12</f>
        <v>692.33</v>
      </c>
    </row>
    <row r="14" spans="1:17" x14ac:dyDescent="0.3">
      <c r="B14" s="138" t="s">
        <v>76</v>
      </c>
      <c r="C14" s="139"/>
      <c r="D14" s="140"/>
      <c r="E14" s="37">
        <f>E10-E12-E13</f>
        <v>566.99999999999977</v>
      </c>
      <c r="F14" s="20">
        <f ca="1">F10-F12-F13</f>
        <v>1167.4609225599993</v>
      </c>
      <c r="G14" s="20">
        <f t="shared" ref="G14:J14" ca="1" si="8">G10-G12-G13</f>
        <v>1899.9706817919991</v>
      </c>
      <c r="H14" s="20">
        <f t="shared" ca="1" si="8"/>
        <v>2747.2031976063995</v>
      </c>
      <c r="I14" s="20">
        <f t="shared" ca="1" si="8"/>
        <v>3666.2087289171996</v>
      </c>
      <c r="J14" s="20">
        <f t="shared" si="8"/>
        <v>4588.0762715158353</v>
      </c>
    </row>
    <row r="15" spans="1:17" x14ac:dyDescent="0.3">
      <c r="B15" s="146" t="s">
        <v>77</v>
      </c>
      <c r="C15" s="147"/>
      <c r="D15" s="148"/>
      <c r="E15" s="38">
        <v>91</v>
      </c>
      <c r="F15" s="49">
        <f>F12</f>
        <v>90.09</v>
      </c>
      <c r="G15" s="50">
        <f>G12</f>
        <v>89.189099999999996</v>
      </c>
      <c r="H15" s="50">
        <f t="shared" ref="H15:J15" si="9">H12</f>
        <v>88.297208999999995</v>
      </c>
      <c r="I15" s="50">
        <f t="shared" si="9"/>
        <v>87.41423691</v>
      </c>
      <c r="J15" s="50">
        <f t="shared" si="9"/>
        <v>86.5400945409</v>
      </c>
      <c r="L15" s="32" t="s">
        <v>94</v>
      </c>
      <c r="M15" s="33" t="s">
        <v>68</v>
      </c>
      <c r="N15" s="32" t="s">
        <v>103</v>
      </c>
      <c r="O15" s="33" t="s">
        <v>68</v>
      </c>
      <c r="P15" s="1"/>
      <c r="Q15" s="53"/>
    </row>
    <row r="16" spans="1:17" x14ac:dyDescent="0.3">
      <c r="B16" s="146" t="s">
        <v>78</v>
      </c>
      <c r="C16" s="147"/>
      <c r="D16" s="148"/>
      <c r="E16" s="38">
        <v>113</v>
      </c>
      <c r="F16" s="38">
        <v>113</v>
      </c>
      <c r="G16" s="38">
        <v>113</v>
      </c>
      <c r="H16" s="38">
        <v>113</v>
      </c>
      <c r="I16" s="38">
        <v>113</v>
      </c>
      <c r="J16" s="38">
        <v>113</v>
      </c>
      <c r="L16" s="136" t="s">
        <v>85</v>
      </c>
      <c r="M16" s="137"/>
      <c r="N16" s="49" t="s">
        <v>104</v>
      </c>
      <c r="O16" s="8">
        <f>M39</f>
        <v>86</v>
      </c>
      <c r="Q16" s="54"/>
    </row>
    <row r="17" spans="1:21" x14ac:dyDescent="0.3">
      <c r="B17" s="138" t="s">
        <v>79</v>
      </c>
      <c r="C17" s="139"/>
      <c r="D17" s="140"/>
      <c r="E17" s="37">
        <f>E10+E16</f>
        <v>883.99999999999977</v>
      </c>
      <c r="F17" s="20">
        <f ca="1">F14+F15+F16</f>
        <v>1370.5509225599992</v>
      </c>
      <c r="G17" s="20">
        <f t="shared" ref="G17:J17" ca="1" si="10">G14+G15+G16</f>
        <v>2102.1597817919992</v>
      </c>
      <c r="H17" s="20">
        <f t="shared" ca="1" si="10"/>
        <v>2948.5004066063993</v>
      </c>
      <c r="I17" s="20">
        <f t="shared" ca="1" si="10"/>
        <v>3866.6229658271996</v>
      </c>
      <c r="J17" s="20">
        <f t="shared" si="10"/>
        <v>4787.6163660567354</v>
      </c>
      <c r="L17" s="29" t="s">
        <v>96</v>
      </c>
      <c r="M17" s="15">
        <v>0</v>
      </c>
      <c r="N17" s="49" t="s">
        <v>105</v>
      </c>
      <c r="O17" s="8">
        <f>M26</f>
        <v>289</v>
      </c>
      <c r="P17" s="51"/>
    </row>
    <row r="18" spans="1:21" x14ac:dyDescent="0.3">
      <c r="A18" s="41"/>
      <c r="B18" s="138" t="s">
        <v>80</v>
      </c>
      <c r="C18" s="139"/>
      <c r="D18" s="140"/>
      <c r="E18" s="39">
        <v>-42</v>
      </c>
      <c r="F18" s="20">
        <f ca="1">-F7*F19</f>
        <v>-31.824770198166476</v>
      </c>
      <c r="G18" s="20">
        <f t="shared" ref="G18:J18" ca="1" si="11">-G7*G19</f>
        <v>-42.616367984027669</v>
      </c>
      <c r="H18" s="20">
        <f t="shared" ca="1" si="11"/>
        <v>-54.948169174523542</v>
      </c>
      <c r="I18" s="20">
        <f t="shared" ca="1" si="11"/>
        <v>-68.116430104556102</v>
      </c>
      <c r="J18" s="20">
        <f t="shared" si="11"/>
        <v>-81.054304659899998</v>
      </c>
      <c r="L18" s="31" t="s">
        <v>86</v>
      </c>
      <c r="M18" s="15">
        <v>31</v>
      </c>
      <c r="N18" s="17" t="s">
        <v>103</v>
      </c>
      <c r="O18" s="17">
        <f>O17-O16</f>
        <v>203</v>
      </c>
      <c r="P18" s="52"/>
      <c r="Q18" s="51"/>
    </row>
    <row r="19" spans="1:21" x14ac:dyDescent="0.3">
      <c r="B19" s="145" t="s">
        <v>109</v>
      </c>
      <c r="C19" s="145"/>
      <c r="D19" s="145"/>
      <c r="E19" s="55">
        <f>-(E18/E5)</f>
        <v>1.5765765765765764E-2</v>
      </c>
      <c r="F19" s="46">
        <f ca="1">AVERAGE(E19,G19)</f>
        <v>1.5612612612612613E-2</v>
      </c>
      <c r="G19" s="46">
        <f t="shared" ref="G19:I19" ca="1" si="12">AVERAGE(F19,H19)</f>
        <v>1.5459459459459462E-2</v>
      </c>
      <c r="H19" s="46">
        <f t="shared" ca="1" si="12"/>
        <v>1.5306306306306309E-2</v>
      </c>
      <c r="I19" s="46">
        <f t="shared" ca="1" si="12"/>
        <v>1.5153153153153154E-2</v>
      </c>
      <c r="J19" s="46">
        <f t="shared" ref="J19" si="13">S28</f>
        <v>1.4999999999999999E-2</v>
      </c>
      <c r="L19" s="29" t="s">
        <v>95</v>
      </c>
      <c r="M19" s="15">
        <v>532</v>
      </c>
    </row>
    <row r="20" spans="1:21" x14ac:dyDescent="0.3">
      <c r="B20" s="141" t="s">
        <v>81</v>
      </c>
      <c r="C20" s="142"/>
      <c r="D20" s="143"/>
      <c r="E20" s="8">
        <v>-64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L20" s="31" t="s">
        <v>97</v>
      </c>
      <c r="M20" s="15">
        <v>0</v>
      </c>
    </row>
    <row r="21" spans="1:21" x14ac:dyDescent="0.3">
      <c r="A21" s="55"/>
      <c r="B21" s="144" t="s">
        <v>74</v>
      </c>
      <c r="C21" s="144"/>
      <c r="D21" s="144"/>
      <c r="E21" s="8">
        <v>-84</v>
      </c>
      <c r="F21" s="40">
        <f>E21-(E21*10%)</f>
        <v>-75.599999999999994</v>
      </c>
      <c r="G21" s="40">
        <f t="shared" ref="G21:J21" si="14">F21-(F21*10%)</f>
        <v>-68.039999999999992</v>
      </c>
      <c r="H21" s="40">
        <f t="shared" si="14"/>
        <v>-61.23599999999999</v>
      </c>
      <c r="I21" s="40">
        <f t="shared" si="14"/>
        <v>-55.112399999999994</v>
      </c>
      <c r="J21" s="40">
        <f t="shared" si="14"/>
        <v>-49.601159999999993</v>
      </c>
      <c r="L21" s="17" t="s">
        <v>98</v>
      </c>
      <c r="M21" s="6">
        <f>SUM(M17:M20)</f>
        <v>563</v>
      </c>
      <c r="N21" s="157" t="s">
        <v>120</v>
      </c>
      <c r="O21" s="157"/>
      <c r="P21" s="157"/>
      <c r="Q21" s="157"/>
      <c r="R21" s="157"/>
      <c r="S21" s="158"/>
      <c r="T21" s="155" t="s">
        <v>121</v>
      </c>
      <c r="U21" s="155"/>
    </row>
    <row r="22" spans="1:21" x14ac:dyDescent="0.3">
      <c r="B22" s="141" t="s">
        <v>112</v>
      </c>
      <c r="C22" s="142"/>
      <c r="D22" s="143"/>
      <c r="E22" s="48">
        <f>O17</f>
        <v>289</v>
      </c>
      <c r="F22" s="40">
        <f>E22+F23</f>
        <v>307.66052079999997</v>
      </c>
      <c r="G22" s="40">
        <f t="shared" ref="G22:J22" si="15">F22+G23</f>
        <v>358.04392695999996</v>
      </c>
      <c r="H22" s="40">
        <f t="shared" si="15"/>
        <v>456.29156897199994</v>
      </c>
      <c r="I22" s="40">
        <f t="shared" si="15"/>
        <v>620.03763899199987</v>
      </c>
      <c r="J22" s="40">
        <f t="shared" si="15"/>
        <v>865.65674402199988</v>
      </c>
      <c r="L22" s="164" t="s">
        <v>99</v>
      </c>
      <c r="M22" s="164"/>
      <c r="N22" s="32" t="s">
        <v>113</v>
      </c>
      <c r="O22" s="33" t="s">
        <v>114</v>
      </c>
      <c r="P22" s="33" t="s">
        <v>115</v>
      </c>
      <c r="Q22" s="33" t="s">
        <v>106</v>
      </c>
      <c r="R22" s="64" t="s">
        <v>64</v>
      </c>
      <c r="S22" s="162"/>
      <c r="T22" s="155"/>
      <c r="U22" s="155"/>
    </row>
    <row r="23" spans="1:21" x14ac:dyDescent="0.3">
      <c r="B23" s="144" t="s">
        <v>111</v>
      </c>
      <c r="C23" s="144"/>
      <c r="D23" s="144"/>
      <c r="E23" s="48">
        <v>0</v>
      </c>
      <c r="F23" s="40">
        <f>F5*F24</f>
        <v>18.6605208</v>
      </c>
      <c r="G23" s="40">
        <f>G5*G24</f>
        <v>50.383406159999993</v>
      </c>
      <c r="H23" s="40">
        <f>H5*H24</f>
        <v>98.247642011999986</v>
      </c>
      <c r="I23" s="40">
        <f>I5*I24</f>
        <v>163.74607001999996</v>
      </c>
      <c r="J23" s="40">
        <f>J5*J24</f>
        <v>245.61910502999996</v>
      </c>
      <c r="L23" s="29" t="s">
        <v>87</v>
      </c>
      <c r="M23" s="15">
        <v>76</v>
      </c>
      <c r="N23" s="8" t="s">
        <v>116</v>
      </c>
      <c r="O23" s="8">
        <v>11</v>
      </c>
      <c r="P23" s="8">
        <v>9</v>
      </c>
      <c r="Q23" s="60">
        <v>33</v>
      </c>
      <c r="R23" s="60">
        <v>42</v>
      </c>
      <c r="S23" s="163"/>
      <c r="T23" s="155"/>
      <c r="U23" s="155"/>
    </row>
    <row r="24" spans="1:21" x14ac:dyDescent="0.3">
      <c r="B24" s="145" t="s">
        <v>108</v>
      </c>
      <c r="C24" s="145"/>
      <c r="D24" s="145"/>
      <c r="E24" s="57">
        <f>E23/E5</f>
        <v>0</v>
      </c>
      <c r="F24" s="47">
        <f>E24+0.5%</f>
        <v>5.0000000000000001E-3</v>
      </c>
      <c r="G24" s="47">
        <f t="shared" ref="G24:J24" si="16">F24+0.5%</f>
        <v>0.01</v>
      </c>
      <c r="H24" s="47">
        <f t="shared" si="16"/>
        <v>1.4999999999999999E-2</v>
      </c>
      <c r="I24" s="47">
        <f t="shared" si="16"/>
        <v>0.02</v>
      </c>
      <c r="J24" s="47">
        <f t="shared" si="16"/>
        <v>2.5000000000000001E-2</v>
      </c>
      <c r="L24" s="31" t="s">
        <v>100</v>
      </c>
      <c r="M24" s="15">
        <v>198</v>
      </c>
      <c r="N24" s="8" t="s">
        <v>117</v>
      </c>
      <c r="O24" s="48">
        <v>764</v>
      </c>
      <c r="P24" s="48">
        <v>1031</v>
      </c>
      <c r="Q24" s="61">
        <v>1818</v>
      </c>
      <c r="R24" s="61">
        <f>E5</f>
        <v>2664</v>
      </c>
      <c r="S24" s="63" t="s">
        <v>118</v>
      </c>
      <c r="T24" s="155"/>
      <c r="U24" s="155"/>
    </row>
    <row r="25" spans="1:21" x14ac:dyDescent="0.3">
      <c r="B25" s="144" t="s">
        <v>83</v>
      </c>
      <c r="C25" s="144"/>
      <c r="D25" s="144"/>
      <c r="E25" s="8">
        <v>0</v>
      </c>
      <c r="F25" s="8">
        <f t="shared" ref="F25:F26" si="17">E25+(E25*0.5%)</f>
        <v>0</v>
      </c>
      <c r="G25" s="8">
        <v>0</v>
      </c>
      <c r="H25" s="8">
        <v>0</v>
      </c>
      <c r="I25" s="8">
        <v>0</v>
      </c>
      <c r="J25" s="8">
        <v>0</v>
      </c>
      <c r="L25" s="17" t="s">
        <v>101</v>
      </c>
      <c r="M25" s="6">
        <f>SUM(M23:M24)</f>
        <v>274</v>
      </c>
      <c r="N25" s="17" t="s">
        <v>113</v>
      </c>
      <c r="O25" s="62">
        <f>O23/O24</f>
        <v>1.4397905759162303E-2</v>
      </c>
      <c r="P25" s="62">
        <f t="shared" ref="P25:R25" si="18">P23/P24</f>
        <v>8.7293889427740058E-3</v>
      </c>
      <c r="Q25" s="62">
        <f t="shared" si="18"/>
        <v>1.8151815181518153E-2</v>
      </c>
      <c r="R25" s="62">
        <f t="shared" si="18"/>
        <v>1.5765765765765764E-2</v>
      </c>
      <c r="S25" s="16">
        <f>AVERAGE(O25:R25)</f>
        <v>1.4261218912305055E-2</v>
      </c>
      <c r="T25" s="155"/>
      <c r="U25" s="155"/>
    </row>
    <row r="26" spans="1:21" x14ac:dyDescent="0.3">
      <c r="B26" s="144" t="s">
        <v>84</v>
      </c>
      <c r="C26" s="144"/>
      <c r="D26" s="144"/>
      <c r="E26" s="8">
        <v>0</v>
      </c>
      <c r="F26" s="8">
        <f t="shared" si="17"/>
        <v>0</v>
      </c>
      <c r="G26" s="8">
        <v>0</v>
      </c>
      <c r="H26" s="8">
        <v>0</v>
      </c>
      <c r="I26" s="8">
        <v>0</v>
      </c>
      <c r="J26" s="8">
        <v>0</v>
      </c>
      <c r="L26" s="30" t="s">
        <v>82</v>
      </c>
      <c r="M26" s="6">
        <f>M21-M25</f>
        <v>289</v>
      </c>
      <c r="N26" s="159"/>
      <c r="O26" s="160"/>
      <c r="P26" s="160"/>
      <c r="Q26" s="160"/>
      <c r="R26" s="160"/>
      <c r="S26" s="161"/>
      <c r="T26" s="155"/>
      <c r="U26" s="155"/>
    </row>
    <row r="27" spans="1:21" x14ac:dyDescent="0.3">
      <c r="B27" s="138" t="s">
        <v>88</v>
      </c>
      <c r="C27" s="139"/>
      <c r="D27" s="140"/>
      <c r="E27" s="20">
        <f>SUM(E17:E26)</f>
        <v>983.01576576576554</v>
      </c>
      <c r="F27" s="20">
        <f t="shared" ref="F27:J27" ca="1" si="19">SUM(F17:F26)</f>
        <v>1589.4678065744456</v>
      </c>
      <c r="G27" s="20">
        <f t="shared" ca="1" si="19"/>
        <v>2399.9562063874314</v>
      </c>
      <c r="H27" s="20">
        <f t="shared" ca="1" si="19"/>
        <v>3386.8857547221819</v>
      </c>
      <c r="I27" s="20">
        <f t="shared" ca="1" si="19"/>
        <v>4527.2129978877974</v>
      </c>
      <c r="J27" s="20">
        <f t="shared" si="19"/>
        <v>5768.2767504488356</v>
      </c>
      <c r="N27" s="59" t="s">
        <v>119</v>
      </c>
      <c r="O27" s="32" t="s">
        <v>52</v>
      </c>
      <c r="P27" s="32" t="s">
        <v>43</v>
      </c>
      <c r="Q27" s="32" t="s">
        <v>44</v>
      </c>
      <c r="R27" s="32" t="s">
        <v>45</v>
      </c>
      <c r="S27" s="32" t="s">
        <v>53</v>
      </c>
      <c r="T27" s="155"/>
      <c r="U27" s="155"/>
    </row>
    <row r="28" spans="1:21" x14ac:dyDescent="0.3">
      <c r="B28" s="138" t="s">
        <v>89</v>
      </c>
      <c r="C28" s="139"/>
      <c r="D28" s="140"/>
      <c r="E28" s="20">
        <f>E10+E18+E20+E21-E23</f>
        <v>580.99999999999977</v>
      </c>
      <c r="F28" s="20">
        <f t="shared" ref="F28:J28" ca="1" si="20">F10+F18+F20+F21-F23</f>
        <v>1244.4656315618327</v>
      </c>
      <c r="G28" s="20">
        <f t="shared" ca="1" si="20"/>
        <v>1941.1200076479713</v>
      </c>
      <c r="H28" s="20">
        <f t="shared" ca="1" si="20"/>
        <v>2734.0685954198757</v>
      </c>
      <c r="I28" s="20">
        <f t="shared" ca="1" si="20"/>
        <v>3579.6480657026436</v>
      </c>
      <c r="J28" s="20">
        <f t="shared" si="20"/>
        <v>4411.3417963668353</v>
      </c>
      <c r="L28" s="32" t="s">
        <v>102</v>
      </c>
      <c r="M28" s="33" t="s">
        <v>68</v>
      </c>
      <c r="N28" s="17" t="s">
        <v>119</v>
      </c>
      <c r="O28" s="62">
        <v>1.7000000000000001E-2</v>
      </c>
      <c r="P28" s="62">
        <v>1.6500000000000001E-2</v>
      </c>
      <c r="Q28" s="62">
        <v>1.6E-2</v>
      </c>
      <c r="R28" s="62">
        <v>1.55E-2</v>
      </c>
      <c r="S28" s="16">
        <v>1.4999999999999999E-2</v>
      </c>
      <c r="T28" s="155"/>
      <c r="U28" s="155"/>
    </row>
    <row r="29" spans="1:21" x14ac:dyDescent="0.3">
      <c r="L29" s="136" t="s">
        <v>85</v>
      </c>
      <c r="M29" s="137"/>
      <c r="N29" s="66"/>
      <c r="O29" s="67"/>
      <c r="P29" s="67"/>
      <c r="Q29" s="67"/>
      <c r="R29" s="67"/>
      <c r="S29" s="67"/>
    </row>
    <row r="30" spans="1:21" x14ac:dyDescent="0.3">
      <c r="B30" s="145" t="s">
        <v>90</v>
      </c>
      <c r="C30" s="145"/>
      <c r="D30" s="145"/>
      <c r="E30" s="42">
        <f>'Assumptions '!D11</f>
        <v>664</v>
      </c>
      <c r="F30" s="42">
        <f>E31</f>
        <v>-319.01576576576554</v>
      </c>
      <c r="G30" s="42">
        <f ca="1">F31</f>
        <v>-1908.4835723402111</v>
      </c>
      <c r="H30" s="42">
        <f ca="1">G31</f>
        <v>-4308.439778727643</v>
      </c>
      <c r="I30" s="42">
        <f ca="1">H31</f>
        <v>-7695.3255334498244</v>
      </c>
      <c r="J30" s="42">
        <f ca="1">I31</f>
        <v>-12222.538531337621</v>
      </c>
      <c r="L30" s="29" t="s">
        <v>96</v>
      </c>
      <c r="M30" s="15">
        <v>1</v>
      </c>
    </row>
    <row r="31" spans="1:21" x14ac:dyDescent="0.3">
      <c r="B31" s="145" t="s">
        <v>91</v>
      </c>
      <c r="C31" s="145"/>
      <c r="D31" s="145"/>
      <c r="E31" s="42">
        <f t="shared" ref="E31:J31" si="21">E30-E27</f>
        <v>-319.01576576576554</v>
      </c>
      <c r="F31" s="42">
        <f t="shared" ca="1" si="21"/>
        <v>-1908.4835723402111</v>
      </c>
      <c r="G31" s="42">
        <f t="shared" ca="1" si="21"/>
        <v>-4308.439778727643</v>
      </c>
      <c r="H31" s="42">
        <f t="shared" ca="1" si="21"/>
        <v>-7695.3255334498244</v>
      </c>
      <c r="I31" s="42">
        <f t="shared" ca="1" si="21"/>
        <v>-12222.538531337621</v>
      </c>
      <c r="J31" s="42">
        <f t="shared" ca="1" si="21"/>
        <v>-17990.815281786457</v>
      </c>
      <c r="L31" s="31" t="s">
        <v>86</v>
      </c>
      <c r="M31" s="15">
        <v>31</v>
      </c>
    </row>
    <row r="32" spans="1:21" x14ac:dyDescent="0.3">
      <c r="B32" s="138" t="s">
        <v>92</v>
      </c>
      <c r="C32" s="139"/>
      <c r="D32" s="140"/>
      <c r="E32" s="58">
        <f t="shared" ref="E32:J32" si="22">E31/E17</f>
        <v>-0.36087756308344526</v>
      </c>
      <c r="F32" s="58">
        <f t="shared" ca="1" si="22"/>
        <v>-1.3924937343994692</v>
      </c>
      <c r="G32" s="58">
        <f t="shared" ca="1" si="22"/>
        <v>-2.0495301147160596</v>
      </c>
      <c r="H32" s="58">
        <f t="shared" ca="1" si="22"/>
        <v>-2.6099116405775988</v>
      </c>
      <c r="I32" s="58">
        <f t="shared" ca="1" si="22"/>
        <v>-3.161037070166683</v>
      </c>
      <c r="J32" s="58">
        <f t="shared" ca="1" si="22"/>
        <v>-3.7577813062336873</v>
      </c>
      <c r="L32" s="29" t="s">
        <v>95</v>
      </c>
      <c r="M32" s="15">
        <v>362</v>
      </c>
    </row>
    <row r="33" spans="2:13" x14ac:dyDescent="0.3">
      <c r="L33" s="31" t="s">
        <v>97</v>
      </c>
      <c r="M33" s="15">
        <v>123</v>
      </c>
    </row>
    <row r="34" spans="2:13" x14ac:dyDescent="0.3">
      <c r="B34" s="156" t="s">
        <v>122</v>
      </c>
      <c r="C34" s="156"/>
      <c r="D34" s="156"/>
      <c r="E34" s="156"/>
      <c r="F34" s="156"/>
      <c r="G34" s="156"/>
      <c r="H34" s="156"/>
      <c r="I34" s="156"/>
      <c r="J34" s="156"/>
      <c r="L34" s="17" t="s">
        <v>98</v>
      </c>
      <c r="M34" s="6">
        <f>SUM(M30:M33)</f>
        <v>517</v>
      </c>
    </row>
    <row r="35" spans="2:13" x14ac:dyDescent="0.3">
      <c r="B35" s="156"/>
      <c r="C35" s="156"/>
      <c r="D35" s="156"/>
      <c r="E35" s="156"/>
      <c r="F35" s="156"/>
      <c r="G35" s="156"/>
      <c r="H35" s="156"/>
      <c r="I35" s="156"/>
      <c r="J35" s="156"/>
      <c r="L35" s="164" t="s">
        <v>99</v>
      </c>
      <c r="M35" s="164"/>
    </row>
    <row r="36" spans="2:13" x14ac:dyDescent="0.3">
      <c r="B36" s="156"/>
      <c r="C36" s="156"/>
      <c r="D36" s="156"/>
      <c r="E36" s="156"/>
      <c r="F36" s="156"/>
      <c r="G36" s="156"/>
      <c r="H36" s="156"/>
      <c r="I36" s="156"/>
      <c r="J36" s="156"/>
      <c r="L36" s="29" t="s">
        <v>87</v>
      </c>
      <c r="M36" s="15">
        <v>88</v>
      </c>
    </row>
    <row r="37" spans="2:13" ht="14.4" customHeight="1" x14ac:dyDescent="0.3">
      <c r="B37" s="156"/>
      <c r="C37" s="156"/>
      <c r="D37" s="156"/>
      <c r="E37" s="156"/>
      <c r="F37" s="156"/>
      <c r="G37" s="156"/>
      <c r="H37" s="156"/>
      <c r="I37" s="156"/>
      <c r="J37" s="156"/>
      <c r="L37" s="31" t="s">
        <v>100</v>
      </c>
      <c r="M37" s="15">
        <v>343</v>
      </c>
    </row>
    <row r="38" spans="2:13" x14ac:dyDescent="0.3">
      <c r="B38" s="156"/>
      <c r="C38" s="156"/>
      <c r="D38" s="156"/>
      <c r="E38" s="156"/>
      <c r="F38" s="156"/>
      <c r="G38" s="156"/>
      <c r="H38" s="156"/>
      <c r="I38" s="156"/>
      <c r="J38" s="156"/>
      <c r="L38" s="17" t="s">
        <v>101</v>
      </c>
      <c r="M38" s="6">
        <f>SUM(M36:M37)</f>
        <v>431</v>
      </c>
    </row>
    <row r="39" spans="2:13" x14ac:dyDescent="0.3">
      <c r="L39" s="30" t="s">
        <v>82</v>
      </c>
      <c r="M39" s="6">
        <f>M34-M38</f>
        <v>86</v>
      </c>
    </row>
  </sheetData>
  <mergeCells count="40">
    <mergeCell ref="B25:D25"/>
    <mergeCell ref="T21:U28"/>
    <mergeCell ref="B34:J38"/>
    <mergeCell ref="N21:S21"/>
    <mergeCell ref="N26:S26"/>
    <mergeCell ref="S22:S23"/>
    <mergeCell ref="L35:M35"/>
    <mergeCell ref="B24:D24"/>
    <mergeCell ref="L22:M22"/>
    <mergeCell ref="L29:M29"/>
    <mergeCell ref="B30:D30"/>
    <mergeCell ref="B31:D31"/>
    <mergeCell ref="B32:D32"/>
    <mergeCell ref="B26:D26"/>
    <mergeCell ref="B27:D27"/>
    <mergeCell ref="B28:D28"/>
    <mergeCell ref="B7:D7"/>
    <mergeCell ref="B3:D3"/>
    <mergeCell ref="A1:D1"/>
    <mergeCell ref="B4:D4"/>
    <mergeCell ref="F3:J3"/>
    <mergeCell ref="B5:D5"/>
    <mergeCell ref="B6:D6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L16:M16"/>
    <mergeCell ref="B18:D18"/>
    <mergeCell ref="B20:D20"/>
    <mergeCell ref="B21:D21"/>
    <mergeCell ref="B23:D23"/>
    <mergeCell ref="B19:D19"/>
    <mergeCell ref="B22:D22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33A8A-1C94-4536-9FBC-731BED329062}">
  <dimension ref="B2:R35"/>
  <sheetViews>
    <sheetView zoomScale="86" zoomScaleNormal="140" workbookViewId="0">
      <selection activeCell="B36" sqref="B36"/>
    </sheetView>
  </sheetViews>
  <sheetFormatPr defaultRowHeight="14.4" x14ac:dyDescent="0.3"/>
  <cols>
    <col min="6" max="6" width="9.109375" bestFit="1" customWidth="1"/>
    <col min="7" max="7" width="10.33203125" bestFit="1" customWidth="1"/>
    <col min="8" max="8" width="9.33203125" bestFit="1" customWidth="1"/>
    <col min="9" max="13" width="9.88671875" bestFit="1" customWidth="1"/>
    <col min="14" max="14" width="10.5546875" bestFit="1" customWidth="1"/>
    <col min="15" max="18" width="11.5546875" bestFit="1" customWidth="1"/>
  </cols>
  <sheetData>
    <row r="2" spans="2:18" ht="18" x14ac:dyDescent="0.3">
      <c r="B2" s="168" t="s">
        <v>123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70"/>
    </row>
    <row r="4" spans="2:18" x14ac:dyDescent="0.3">
      <c r="B4" s="167" t="s">
        <v>42</v>
      </c>
      <c r="C4" s="167"/>
      <c r="D4" s="167"/>
      <c r="E4" s="167"/>
      <c r="F4" s="157" t="s">
        <v>124</v>
      </c>
      <c r="G4" s="157"/>
      <c r="H4" s="157"/>
      <c r="I4" s="165" t="s">
        <v>125</v>
      </c>
      <c r="J4" s="165"/>
      <c r="K4" s="165"/>
      <c r="L4" s="165"/>
      <c r="M4" s="165"/>
      <c r="N4" s="166" t="s">
        <v>126</v>
      </c>
      <c r="O4" s="166"/>
      <c r="P4" s="166"/>
      <c r="Q4" s="166"/>
      <c r="R4" s="166"/>
    </row>
    <row r="5" spans="2:18" x14ac:dyDescent="0.3">
      <c r="B5" s="173"/>
      <c r="C5" s="173"/>
      <c r="D5" s="173"/>
      <c r="E5" s="173"/>
      <c r="F5" s="28" t="s">
        <v>115</v>
      </c>
      <c r="G5" s="28" t="s">
        <v>106</v>
      </c>
      <c r="H5" s="28" t="s">
        <v>64</v>
      </c>
      <c r="I5" s="28" t="s">
        <v>52</v>
      </c>
      <c r="J5" s="28" t="s">
        <v>43</v>
      </c>
      <c r="K5" s="28" t="s">
        <v>44</v>
      </c>
      <c r="L5" s="28" t="s">
        <v>45</v>
      </c>
      <c r="M5" s="28" t="s">
        <v>53</v>
      </c>
      <c r="N5" s="28" t="s">
        <v>127</v>
      </c>
      <c r="O5" s="28" t="s">
        <v>128</v>
      </c>
      <c r="P5" s="28" t="s">
        <v>129</v>
      </c>
      <c r="Q5" s="28" t="s">
        <v>130</v>
      </c>
      <c r="R5" s="28" t="s">
        <v>131</v>
      </c>
    </row>
    <row r="6" spans="2:18" x14ac:dyDescent="0.3">
      <c r="B6" s="172" t="s">
        <v>132</v>
      </c>
      <c r="C6" s="172"/>
      <c r="D6" s="172"/>
      <c r="E6" s="172"/>
      <c r="F6" s="72">
        <v>1031</v>
      </c>
      <c r="G6" s="72">
        <v>1818</v>
      </c>
      <c r="H6" s="73">
        <f>'Company Financial Forecasts'!E5</f>
        <v>2664</v>
      </c>
      <c r="I6" s="73">
        <f>'Company Financial Forecasts'!F5</f>
        <v>3732.1041599999999</v>
      </c>
      <c r="J6" s="73">
        <f>'Company Financial Forecasts'!G5</f>
        <v>5038.3406159999995</v>
      </c>
      <c r="K6" s="73">
        <f>'Company Financial Forecasts'!H5</f>
        <v>6549.8428007999992</v>
      </c>
      <c r="L6" s="73">
        <f>'Company Financial Forecasts'!I5</f>
        <v>8187.3035009999985</v>
      </c>
      <c r="M6" s="73">
        <f>'Company Financial Forecasts'!J5</f>
        <v>9824.7642011999978</v>
      </c>
      <c r="N6" s="73">
        <f ca="1">M6*(1+N8)</f>
        <v>11593.221757415997</v>
      </c>
      <c r="O6" s="73">
        <f ca="1">N6*(1+O8)</f>
        <v>13448.137238602556</v>
      </c>
      <c r="P6" s="73">
        <f ca="1">O6*(1+P8)</f>
        <v>15330.876452006916</v>
      </c>
      <c r="Q6" s="73">
        <f ca="1">P6*(1+Q8)</f>
        <v>17170.581626247749</v>
      </c>
      <c r="R6" s="73">
        <f ca="1">Q6*(1+R8)</f>
        <v>18887.639788872526</v>
      </c>
    </row>
    <row r="7" spans="2:18" x14ac:dyDescent="0.3">
      <c r="B7" s="174" t="s">
        <v>149</v>
      </c>
      <c r="C7" s="173"/>
      <c r="D7" s="173"/>
      <c r="E7" s="173"/>
      <c r="F7" s="28" t="s">
        <v>150</v>
      </c>
      <c r="G7" s="28" t="s">
        <v>150</v>
      </c>
      <c r="H7" s="28" t="s">
        <v>150</v>
      </c>
      <c r="I7" s="42">
        <f>'Company Financial Forecasts'!F5</f>
        <v>3732.1041599999999</v>
      </c>
      <c r="J7" s="42">
        <f>'Company Financial Forecasts'!G5</f>
        <v>5038.3406159999995</v>
      </c>
      <c r="K7" s="42">
        <f>'Company Financial Forecasts'!H5</f>
        <v>6549.8428007999992</v>
      </c>
      <c r="L7" s="42">
        <f>'Company Financial Forecasts'!I5</f>
        <v>8187.3035009999985</v>
      </c>
      <c r="M7" s="42">
        <f>'Company Financial Forecasts'!J5</f>
        <v>9824.7642011999978</v>
      </c>
      <c r="N7" s="28" t="s">
        <v>150</v>
      </c>
      <c r="O7" s="28" t="s">
        <v>150</v>
      </c>
      <c r="P7" s="28" t="s">
        <v>150</v>
      </c>
      <c r="Q7" s="28" t="s">
        <v>150</v>
      </c>
      <c r="R7" s="28" t="s">
        <v>150</v>
      </c>
    </row>
    <row r="8" spans="2:18" x14ac:dyDescent="0.3">
      <c r="B8" s="174" t="s">
        <v>133</v>
      </c>
      <c r="C8" s="174"/>
      <c r="D8" s="174"/>
      <c r="E8" s="174"/>
      <c r="F8" s="68" t="s">
        <v>65</v>
      </c>
      <c r="G8" s="69">
        <f t="shared" ref="G8:M8" si="0">(G6-F6)/F6</f>
        <v>0.7633365664403492</v>
      </c>
      <c r="H8" s="69">
        <f t="shared" si="0"/>
        <v>0.46534653465346537</v>
      </c>
      <c r="I8" s="69">
        <f t="shared" si="0"/>
        <v>0.40093999999999996</v>
      </c>
      <c r="J8" s="69">
        <f t="shared" si="0"/>
        <v>0.34999999999999992</v>
      </c>
      <c r="K8" s="69">
        <f t="shared" si="0"/>
        <v>0.3</v>
      </c>
      <c r="L8" s="69">
        <f t="shared" si="0"/>
        <v>0.24999999999999992</v>
      </c>
      <c r="M8" s="69">
        <f t="shared" si="0"/>
        <v>0.19999999999999996</v>
      </c>
      <c r="N8" s="69">
        <f ca="1">AVERAGE(M8,O8)</f>
        <v>0.18</v>
      </c>
      <c r="O8" s="69">
        <f t="shared" ref="O8:Q8" ca="1" si="1">AVERAGE(N8,P8)</f>
        <v>0.16</v>
      </c>
      <c r="P8" s="69">
        <f t="shared" ca="1" si="1"/>
        <v>0.14000000000000001</v>
      </c>
      <c r="Q8" s="69">
        <f t="shared" ca="1" si="1"/>
        <v>0.12000000000000001</v>
      </c>
      <c r="R8" s="69">
        <v>0.1</v>
      </c>
    </row>
    <row r="9" spans="2:18" x14ac:dyDescent="0.3">
      <c r="B9" s="175" t="s">
        <v>79</v>
      </c>
      <c r="C9" s="175"/>
      <c r="D9" s="175"/>
      <c r="E9" s="175"/>
      <c r="F9" s="72">
        <v>634</v>
      </c>
      <c r="G9" s="72">
        <v>505</v>
      </c>
      <c r="H9" s="73">
        <f>'Company Financial Forecasts'!E17</f>
        <v>883.99999999999977</v>
      </c>
      <c r="I9" s="73">
        <f ca="1">'Company Financial Forecasts'!F17</f>
        <v>1370.5509225599992</v>
      </c>
      <c r="J9" s="73">
        <f ca="1">'Company Financial Forecasts'!G17</f>
        <v>2102.1597817919992</v>
      </c>
      <c r="K9" s="73">
        <f ca="1">'Company Financial Forecasts'!H17</f>
        <v>2948.5004066063993</v>
      </c>
      <c r="L9" s="73">
        <f ca="1">'Company Financial Forecasts'!I17</f>
        <v>3866.6229658271996</v>
      </c>
      <c r="M9" s="73">
        <f>'Company Financial Forecasts'!J17</f>
        <v>4787.6163660567354</v>
      </c>
      <c r="N9" s="73">
        <f ca="1">M9*(1+N11)</f>
        <v>5795.6610197698965</v>
      </c>
      <c r="O9" s="73">
        <f ca="1">N9*(1+O11)</f>
        <v>6855.7707862974285</v>
      </c>
      <c r="P9" s="73">
        <f ca="1">O9*(1+P11)</f>
        <v>7920.3092069527411</v>
      </c>
      <c r="Q9" s="73">
        <f ca="1">P9*(1+Q11)</f>
        <v>8931.2426478667003</v>
      </c>
      <c r="R9" s="73">
        <f ca="1">Q9*(1+R11)</f>
        <v>9824.3669126533714</v>
      </c>
    </row>
    <row r="10" spans="2:18" x14ac:dyDescent="0.3">
      <c r="B10" s="179" t="s">
        <v>149</v>
      </c>
      <c r="C10" s="160"/>
      <c r="D10" s="160"/>
      <c r="E10" s="161"/>
      <c r="F10" s="28" t="s">
        <v>150</v>
      </c>
      <c r="G10" s="28" t="s">
        <v>150</v>
      </c>
      <c r="H10" s="28" t="s">
        <v>150</v>
      </c>
      <c r="I10" s="42">
        <f ca="1">'Company Financial Forecasts'!F10</f>
        <v>1370.5509225599992</v>
      </c>
      <c r="J10" s="42">
        <f ca="1">'Company Financial Forecasts'!G10</f>
        <v>2102.1597817919992</v>
      </c>
      <c r="K10" s="42">
        <f ca="1">'Company Financial Forecasts'!H10</f>
        <v>2948.5004066063993</v>
      </c>
      <c r="L10" s="42">
        <f ca="1">'Company Financial Forecasts'!I10</f>
        <v>3866.6229658271996</v>
      </c>
      <c r="M10" s="42">
        <f>'Company Financial Forecasts'!J10</f>
        <v>4787.6163660567354</v>
      </c>
      <c r="N10" s="28" t="s">
        <v>150</v>
      </c>
      <c r="O10" s="28" t="s">
        <v>150</v>
      </c>
      <c r="P10" s="28" t="s">
        <v>150</v>
      </c>
      <c r="Q10" s="28" t="s">
        <v>150</v>
      </c>
      <c r="R10" s="28" t="s">
        <v>150</v>
      </c>
    </row>
    <row r="11" spans="2:18" x14ac:dyDescent="0.3">
      <c r="B11" s="174" t="s">
        <v>133</v>
      </c>
      <c r="C11" s="174"/>
      <c r="D11" s="174"/>
      <c r="E11" s="174"/>
      <c r="F11" s="28" t="s">
        <v>65</v>
      </c>
      <c r="G11" s="69">
        <f t="shared" ref="G11:M11" si="2">IF(ISERROR(G9/F9-1),"nil",(G9/F9-1))</f>
        <v>-0.20347003154574128</v>
      </c>
      <c r="H11" s="69">
        <f t="shared" si="2"/>
        <v>0.75049504950495005</v>
      </c>
      <c r="I11" s="69">
        <f t="shared" ca="1" si="2"/>
        <v>0.55039697122171893</v>
      </c>
      <c r="J11" s="69">
        <f t="shared" ca="1" si="2"/>
        <v>0.5338064038258834</v>
      </c>
      <c r="K11" s="69">
        <f t="shared" ca="1" si="2"/>
        <v>0.40260527869719387</v>
      </c>
      <c r="L11" s="69">
        <f t="shared" ca="1" si="2"/>
        <v>0.3113862752617087</v>
      </c>
      <c r="M11" s="69">
        <f t="shared" ca="1" si="2"/>
        <v>0.23819064035184634</v>
      </c>
      <c r="N11" s="69">
        <f ca="1">AVERAGE(M11,O11)</f>
        <v>0.21055251228147709</v>
      </c>
      <c r="O11" s="69">
        <f t="shared" ref="O11:Q12" ca="1" si="3">AVERAGE(N11,P11)</f>
        <v>0.18291438421110784</v>
      </c>
      <c r="P11" s="69">
        <f t="shared" ca="1" si="3"/>
        <v>0.15527625614073856</v>
      </c>
      <c r="Q11" s="69">
        <f t="shared" ca="1" si="3"/>
        <v>0.12763812807036928</v>
      </c>
      <c r="R11" s="69">
        <v>0.1</v>
      </c>
    </row>
    <row r="12" spans="2:18" x14ac:dyDescent="0.3">
      <c r="B12" s="174" t="s">
        <v>134</v>
      </c>
      <c r="C12" s="174"/>
      <c r="D12" s="174"/>
      <c r="E12" s="174"/>
      <c r="F12" s="28" t="s">
        <v>150</v>
      </c>
      <c r="G12" s="28" t="s">
        <v>150</v>
      </c>
      <c r="H12" s="28" t="s">
        <v>150</v>
      </c>
      <c r="I12" s="69">
        <f ca="1">IF(ISERROR(I10/I7),"nil", (I10/I7))</f>
        <v>0.36723276302127628</v>
      </c>
      <c r="J12" s="69">
        <f t="shared" ref="J12:M12" ca="1" si="4">IF(ISERROR(J10/J7),"nil", (J10/J7))</f>
        <v>0.41723256564200489</v>
      </c>
      <c r="K12" s="69">
        <f t="shared" ca="1" si="4"/>
        <v>0.45016353770296119</v>
      </c>
      <c r="L12" s="69">
        <f t="shared" ca="1" si="4"/>
        <v>0.47227062797353603</v>
      </c>
      <c r="M12" s="69">
        <f t="shared" si="4"/>
        <v>0.48730089272493432</v>
      </c>
      <c r="N12" s="69">
        <f ca="1">AVERAGE(M12,O12)</f>
        <v>0.48584071417994745</v>
      </c>
      <c r="O12" s="69">
        <f t="shared" ca="1" si="3"/>
        <v>0.48438053563496064</v>
      </c>
      <c r="P12" s="69">
        <f t="shared" ca="1" si="3"/>
        <v>0.48292035708997377</v>
      </c>
      <c r="Q12" s="69">
        <f t="shared" ca="1" si="3"/>
        <v>0.48146017854498691</v>
      </c>
      <c r="R12" s="45">
        <v>0.48</v>
      </c>
    </row>
    <row r="13" spans="2:18" x14ac:dyDescent="0.3">
      <c r="B13" s="176" t="s">
        <v>137</v>
      </c>
      <c r="C13" s="177"/>
      <c r="D13" s="177"/>
      <c r="E13" s="178"/>
      <c r="F13" s="72">
        <v>113</v>
      </c>
      <c r="G13" s="72">
        <v>113</v>
      </c>
      <c r="H13" s="72">
        <f>'Company Financial Forecasts'!E16</f>
        <v>113</v>
      </c>
      <c r="I13" s="72">
        <f>'Company Financial Forecasts'!F16</f>
        <v>113</v>
      </c>
      <c r="J13" s="72">
        <f>'Company Financial Forecasts'!G16</f>
        <v>113</v>
      </c>
      <c r="K13" s="72">
        <f>'Company Financial Forecasts'!H16</f>
        <v>113</v>
      </c>
      <c r="L13" s="72">
        <f>'Company Financial Forecasts'!I16</f>
        <v>113</v>
      </c>
      <c r="M13" s="72">
        <f>'Company Financial Forecasts'!J16</f>
        <v>113</v>
      </c>
      <c r="N13" s="72">
        <v>113</v>
      </c>
      <c r="O13" s="72">
        <v>113</v>
      </c>
      <c r="P13" s="72">
        <v>113</v>
      </c>
      <c r="Q13" s="72">
        <v>113</v>
      </c>
      <c r="R13" s="72">
        <v>113</v>
      </c>
    </row>
    <row r="14" spans="2:18" x14ac:dyDescent="0.3">
      <c r="B14" s="171" t="s">
        <v>135</v>
      </c>
      <c r="C14" s="171"/>
      <c r="D14" s="171"/>
      <c r="E14" s="171"/>
      <c r="F14" s="28" t="s">
        <v>65</v>
      </c>
      <c r="G14" s="47">
        <f>(G13-F13)/G13</f>
        <v>0</v>
      </c>
      <c r="H14" s="47">
        <f t="shared" ref="H14:R14" si="5">(H13-G13)/H13</f>
        <v>0</v>
      </c>
      <c r="I14" s="47">
        <f t="shared" si="5"/>
        <v>0</v>
      </c>
      <c r="J14" s="47">
        <f t="shared" si="5"/>
        <v>0</v>
      </c>
      <c r="K14" s="47">
        <f t="shared" si="5"/>
        <v>0</v>
      </c>
      <c r="L14" s="47">
        <f t="shared" si="5"/>
        <v>0</v>
      </c>
      <c r="M14" s="47">
        <f t="shared" si="5"/>
        <v>0</v>
      </c>
      <c r="N14" s="47">
        <f t="shared" si="5"/>
        <v>0</v>
      </c>
      <c r="O14" s="47">
        <f t="shared" si="5"/>
        <v>0</v>
      </c>
      <c r="P14" s="47">
        <f t="shared" si="5"/>
        <v>0</v>
      </c>
      <c r="Q14" s="47">
        <f t="shared" si="5"/>
        <v>0</v>
      </c>
      <c r="R14" s="47">
        <f t="shared" si="5"/>
        <v>0</v>
      </c>
    </row>
    <row r="15" spans="2:18" x14ac:dyDescent="0.3">
      <c r="B15" s="171" t="s">
        <v>136</v>
      </c>
      <c r="C15" s="171"/>
      <c r="D15" s="171"/>
      <c r="E15" s="171"/>
      <c r="F15" s="47">
        <f t="shared" ref="F15:R15" si="6">F13/F6*1</f>
        <v>0.1096023278370514</v>
      </c>
      <c r="G15" s="47">
        <f t="shared" si="6"/>
        <v>6.2156215621562157E-2</v>
      </c>
      <c r="H15" s="47">
        <f t="shared" si="6"/>
        <v>4.2417417417417419E-2</v>
      </c>
      <c r="I15" s="47">
        <f t="shared" si="6"/>
        <v>3.0277825900764787E-2</v>
      </c>
      <c r="J15" s="47">
        <f t="shared" si="6"/>
        <v>2.2428019185751696E-2</v>
      </c>
      <c r="K15" s="47">
        <f t="shared" si="6"/>
        <v>1.7252322450578228E-2</v>
      </c>
      <c r="L15" s="47">
        <f t="shared" si="6"/>
        <v>1.3801857960462582E-2</v>
      </c>
      <c r="M15" s="47">
        <f t="shared" si="6"/>
        <v>1.1501548300385486E-2</v>
      </c>
      <c r="N15" s="47">
        <f t="shared" ca="1" si="6"/>
        <v>9.7470748308351573E-3</v>
      </c>
      <c r="O15" s="47">
        <f t="shared" ca="1" si="6"/>
        <v>8.4026507162372061E-3</v>
      </c>
      <c r="P15" s="47">
        <f t="shared" ca="1" si="6"/>
        <v>7.370746242313337E-3</v>
      </c>
      <c r="Q15" s="47">
        <f t="shared" ca="1" si="6"/>
        <v>6.5810234306369064E-3</v>
      </c>
      <c r="R15" s="47">
        <f t="shared" ca="1" si="6"/>
        <v>5.9827485733062779E-3</v>
      </c>
    </row>
    <row r="16" spans="2:18" x14ac:dyDescent="0.3">
      <c r="B16" s="176" t="s">
        <v>138</v>
      </c>
      <c r="C16" s="177"/>
      <c r="D16" s="177"/>
      <c r="E16" s="178"/>
      <c r="F16" s="74">
        <v>521</v>
      </c>
      <c r="G16" s="74">
        <v>392</v>
      </c>
      <c r="H16" s="73">
        <f>'Company Financial Forecasts'!E10</f>
        <v>770.99999999999977</v>
      </c>
      <c r="I16" s="73">
        <f ca="1">'Company Financial Forecasts'!F10</f>
        <v>1370.5509225599992</v>
      </c>
      <c r="J16" s="73">
        <f ca="1">'Company Financial Forecasts'!G10</f>
        <v>2102.1597817919992</v>
      </c>
      <c r="K16" s="73">
        <f ca="1">'Company Financial Forecasts'!H10</f>
        <v>2948.5004066063993</v>
      </c>
      <c r="L16" s="73">
        <f ca="1">'Company Financial Forecasts'!I10</f>
        <v>3866.6229658271996</v>
      </c>
      <c r="M16" s="73">
        <f>'Company Financial Forecasts'!J10</f>
        <v>4787.6163660567354</v>
      </c>
      <c r="N16" s="73">
        <f ca="1">M16+(M16*N17)</f>
        <v>5795.6610197698965</v>
      </c>
      <c r="O16" s="73">
        <f t="shared" ref="O16:R16" ca="1" si="7">N16+(N16*O17)</f>
        <v>6855.7707862974285</v>
      </c>
      <c r="P16" s="73">
        <f t="shared" ca="1" si="7"/>
        <v>7920.3092069527411</v>
      </c>
      <c r="Q16" s="73">
        <f t="shared" ca="1" si="7"/>
        <v>8931.2426478667003</v>
      </c>
      <c r="R16" s="73">
        <f t="shared" ca="1" si="7"/>
        <v>9824.3669126533696</v>
      </c>
    </row>
    <row r="17" spans="2:18" x14ac:dyDescent="0.3">
      <c r="B17" s="171" t="s">
        <v>135</v>
      </c>
      <c r="C17" s="171"/>
      <c r="D17" s="171"/>
      <c r="E17" s="171"/>
      <c r="F17" s="28" t="s">
        <v>65</v>
      </c>
      <c r="G17" s="47">
        <f>(G16-F16)/F16</f>
        <v>-0.24760076775431861</v>
      </c>
      <c r="H17" s="47">
        <f>(H16-G16)/G16</f>
        <v>0.96683673469387699</v>
      </c>
      <c r="I17" s="47">
        <f t="shared" ref="I17:M17" ca="1" si="8">(I16-H16)/H16</f>
        <v>0.77762765571984382</v>
      </c>
      <c r="J17" s="47">
        <f t="shared" ca="1" si="8"/>
        <v>0.5338064038258834</v>
      </c>
      <c r="K17" s="47">
        <f t="shared" ca="1" si="8"/>
        <v>0.40260527869719392</v>
      </c>
      <c r="L17" s="47">
        <f t="shared" ca="1" si="8"/>
        <v>0.3113862752617087</v>
      </c>
      <c r="M17" s="47">
        <f t="shared" ca="1" si="8"/>
        <v>0.23819064035184631</v>
      </c>
      <c r="N17" s="47">
        <f ca="1">AVERAGE(M17,O17)</f>
        <v>0.21055251228147709</v>
      </c>
      <c r="O17" s="47">
        <f t="shared" ref="O17:Q17" ca="1" si="9">AVERAGE(N17,P17)</f>
        <v>0.18291438421110784</v>
      </c>
      <c r="P17" s="47">
        <f t="shared" ca="1" si="9"/>
        <v>0.15527625614073856</v>
      </c>
      <c r="Q17" s="47">
        <f t="shared" ca="1" si="9"/>
        <v>0.12763812807036928</v>
      </c>
      <c r="R17" s="47">
        <v>0.1</v>
      </c>
    </row>
    <row r="18" spans="2:18" x14ac:dyDescent="0.3">
      <c r="B18" s="171" t="s">
        <v>136</v>
      </c>
      <c r="C18" s="171"/>
      <c r="D18" s="171"/>
      <c r="E18" s="171"/>
      <c r="F18" s="47">
        <f t="shared" ref="F18:R18" si="10">IF(ISERROR(F16/F6), "n/a", (F16/F6))</f>
        <v>0.5053346265761397</v>
      </c>
      <c r="G18" s="47">
        <f t="shared" si="10"/>
        <v>0.21562156215621561</v>
      </c>
      <c r="H18" s="47">
        <f t="shared" si="10"/>
        <v>0.28941441441441434</v>
      </c>
      <c r="I18" s="47">
        <f t="shared" ca="1" si="10"/>
        <v>0.36723276302127628</v>
      </c>
      <c r="J18" s="47">
        <f t="shared" ca="1" si="10"/>
        <v>0.41723256564200489</v>
      </c>
      <c r="K18" s="47">
        <f t="shared" ca="1" si="10"/>
        <v>0.45016353770296119</v>
      </c>
      <c r="L18" s="47">
        <f t="shared" ca="1" si="10"/>
        <v>0.47227062797353603</v>
      </c>
      <c r="M18" s="47">
        <f t="shared" si="10"/>
        <v>0.48730089272493432</v>
      </c>
      <c r="N18" s="47">
        <f t="shared" ca="1" si="10"/>
        <v>0.49991806773319986</v>
      </c>
      <c r="O18" s="47">
        <f t="shared" ca="1" si="10"/>
        <v>0.5097933390074354</v>
      </c>
      <c r="P18" s="47">
        <f t="shared" ca="1" si="10"/>
        <v>0.51662468429297914</v>
      </c>
      <c r="Q18" s="47">
        <f t="shared" ca="1" si="10"/>
        <v>0.52014793920632174</v>
      </c>
      <c r="R18" s="47">
        <f t="shared" ca="1" si="10"/>
        <v>0.52014793920632174</v>
      </c>
    </row>
    <row r="19" spans="2:18" x14ac:dyDescent="0.3">
      <c r="B19" s="181" t="s">
        <v>139</v>
      </c>
      <c r="C19" s="182"/>
      <c r="D19" s="182"/>
      <c r="E19" s="183"/>
      <c r="F19" s="75">
        <v>0.2</v>
      </c>
      <c r="G19" s="75">
        <v>0.2</v>
      </c>
      <c r="H19" s="75">
        <v>0.2</v>
      </c>
      <c r="I19" s="75">
        <v>0.2</v>
      </c>
      <c r="J19" s="75">
        <v>0.2</v>
      </c>
      <c r="K19" s="75">
        <v>0.2</v>
      </c>
      <c r="L19" s="75">
        <v>0.2</v>
      </c>
      <c r="M19" s="75">
        <v>0.2</v>
      </c>
      <c r="N19" s="75">
        <v>0.2</v>
      </c>
      <c r="O19" s="75">
        <v>0.2</v>
      </c>
      <c r="P19" s="75">
        <v>0.2</v>
      </c>
      <c r="Q19" s="75">
        <v>0.2</v>
      </c>
      <c r="R19" s="75">
        <v>0.2</v>
      </c>
    </row>
    <row r="20" spans="2:18" x14ac:dyDescent="0.3">
      <c r="B20" s="180" t="s">
        <v>140</v>
      </c>
      <c r="C20" s="180"/>
      <c r="D20" s="180"/>
      <c r="E20" s="180"/>
      <c r="F20" s="76">
        <f>F16-(F16*F19)</f>
        <v>416.8</v>
      </c>
      <c r="G20" s="76">
        <f t="shared" ref="G20:R20" si="11">G16-(G16*G19)</f>
        <v>313.60000000000002</v>
      </c>
      <c r="H20" s="76">
        <f t="shared" si="11"/>
        <v>616.79999999999984</v>
      </c>
      <c r="I20" s="76">
        <f t="shared" ca="1" si="11"/>
        <v>1096.4407380479993</v>
      </c>
      <c r="J20" s="76">
        <f t="shared" ca="1" si="11"/>
        <v>1681.7278254335993</v>
      </c>
      <c r="K20" s="76">
        <f t="shared" ca="1" si="11"/>
        <v>2358.8003252851195</v>
      </c>
      <c r="L20" s="76">
        <f t="shared" ca="1" si="11"/>
        <v>3093.2983726617595</v>
      </c>
      <c r="M20" s="76">
        <f t="shared" si="11"/>
        <v>3830.0930928453881</v>
      </c>
      <c r="N20" s="76">
        <f t="shared" ca="1" si="11"/>
        <v>4636.5288158159174</v>
      </c>
      <c r="O20" s="76">
        <f t="shared" ca="1" si="11"/>
        <v>5484.6166290379424</v>
      </c>
      <c r="P20" s="76">
        <f t="shared" ca="1" si="11"/>
        <v>6336.2473655621925</v>
      </c>
      <c r="Q20" s="76">
        <f t="shared" ca="1" si="11"/>
        <v>7144.9941182933599</v>
      </c>
      <c r="R20" s="76">
        <f t="shared" ca="1" si="11"/>
        <v>7859.493530122696</v>
      </c>
    </row>
    <row r="21" spans="2:18" x14ac:dyDescent="0.3">
      <c r="B21" s="171" t="s">
        <v>135</v>
      </c>
      <c r="C21" s="171"/>
      <c r="D21" s="171"/>
      <c r="E21" s="171"/>
      <c r="F21" s="28" t="s">
        <v>65</v>
      </c>
      <c r="G21" s="47">
        <f>(G20-F20)/F20</f>
        <v>-0.24760076775431858</v>
      </c>
      <c r="H21" s="47">
        <f t="shared" ref="H21:R21" si="12">(H20-G20)/G20</f>
        <v>0.96683673469387688</v>
      </c>
      <c r="I21" s="47">
        <f t="shared" ca="1" si="12"/>
        <v>0.7776276557198436</v>
      </c>
      <c r="J21" s="47">
        <f t="shared" ca="1" si="12"/>
        <v>0.5338064038258834</v>
      </c>
      <c r="K21" s="47">
        <f t="shared" ca="1" si="12"/>
        <v>0.40260527869719398</v>
      </c>
      <c r="L21" s="47">
        <f t="shared" ca="1" si="12"/>
        <v>0.31138627526170859</v>
      </c>
      <c r="M21" s="47">
        <f t="shared" ca="1" si="12"/>
        <v>0.23819064035184634</v>
      </c>
      <c r="N21" s="47">
        <f t="shared" ca="1" si="12"/>
        <v>0.21055251228147712</v>
      </c>
      <c r="O21" s="47">
        <f t="shared" ca="1" si="12"/>
        <v>0.18291438421110773</v>
      </c>
      <c r="P21" s="47">
        <f t="shared" ca="1" si="12"/>
        <v>0.15527625614073864</v>
      </c>
      <c r="Q21" s="47">
        <f t="shared" ca="1" si="12"/>
        <v>0.12763812807036931</v>
      </c>
      <c r="R21" s="47">
        <f t="shared" ca="1" si="12"/>
        <v>0.10000000000000002</v>
      </c>
    </row>
    <row r="22" spans="2:18" x14ac:dyDescent="0.3">
      <c r="B22" s="171" t="s">
        <v>136</v>
      </c>
      <c r="C22" s="171"/>
      <c r="D22" s="171"/>
      <c r="E22" s="171"/>
      <c r="F22" s="47">
        <f t="shared" ref="F22:R22" si="13">IF(ISERROR(F20/F6), "Nil", (F20/F6))</f>
        <v>0.40426770126091177</v>
      </c>
      <c r="G22" s="47">
        <f t="shared" si="13"/>
        <v>0.17249724972497252</v>
      </c>
      <c r="H22" s="47">
        <f t="shared" si="13"/>
        <v>0.23153153153153147</v>
      </c>
      <c r="I22" s="47">
        <f t="shared" ca="1" si="13"/>
        <v>0.29378621041702097</v>
      </c>
      <c r="J22" s="47">
        <f t="shared" ca="1" si="13"/>
        <v>0.33378605251360388</v>
      </c>
      <c r="K22" s="47">
        <f t="shared" ca="1" si="13"/>
        <v>0.36013083016236896</v>
      </c>
      <c r="L22" s="47">
        <f t="shared" ca="1" si="13"/>
        <v>0.3778165023788288</v>
      </c>
      <c r="M22" s="47">
        <f t="shared" si="13"/>
        <v>0.38984071417994748</v>
      </c>
      <c r="N22" s="47">
        <f t="shared" ca="1" si="13"/>
        <v>0.39993445418655987</v>
      </c>
      <c r="O22" s="47">
        <f t="shared" ca="1" si="13"/>
        <v>0.40783467120594824</v>
      </c>
      <c r="P22" s="47">
        <f t="shared" ca="1" si="13"/>
        <v>0.4132997474343833</v>
      </c>
      <c r="Q22" s="47">
        <f t="shared" ca="1" si="13"/>
        <v>0.41611835136505743</v>
      </c>
      <c r="R22" s="47">
        <f t="shared" ca="1" si="13"/>
        <v>0.41611835136505737</v>
      </c>
    </row>
    <row r="25" spans="2:18" ht="18" x14ac:dyDescent="0.3">
      <c r="B25" s="168" t="s">
        <v>141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70"/>
    </row>
    <row r="27" spans="2:18" x14ac:dyDescent="0.3">
      <c r="B27" s="167" t="s">
        <v>42</v>
      </c>
      <c r="C27" s="167"/>
      <c r="D27" s="167"/>
      <c r="E27" s="167"/>
      <c r="F27" s="157" t="s">
        <v>124</v>
      </c>
      <c r="G27" s="157"/>
      <c r="H27" s="157"/>
      <c r="I27" s="165" t="s">
        <v>125</v>
      </c>
      <c r="J27" s="165"/>
      <c r="K27" s="165"/>
      <c r="L27" s="165"/>
      <c r="M27" s="165"/>
      <c r="N27" s="166" t="s">
        <v>126</v>
      </c>
      <c r="O27" s="166"/>
      <c r="P27" s="166"/>
      <c r="Q27" s="166"/>
      <c r="R27" s="166"/>
    </row>
    <row r="28" spans="2:18" x14ac:dyDescent="0.3">
      <c r="B28" s="173"/>
      <c r="C28" s="173"/>
      <c r="D28" s="173"/>
      <c r="E28" s="173"/>
      <c r="F28" s="28" t="s">
        <v>115</v>
      </c>
      <c r="G28" s="28" t="s">
        <v>106</v>
      </c>
      <c r="H28" s="28" t="s">
        <v>64</v>
      </c>
      <c r="I28" s="28" t="s">
        <v>52</v>
      </c>
      <c r="J28" s="28" t="s">
        <v>43</v>
      </c>
      <c r="K28" s="28" t="s">
        <v>44</v>
      </c>
      <c r="L28" s="28" t="s">
        <v>45</v>
      </c>
      <c r="M28" s="28" t="s">
        <v>53</v>
      </c>
      <c r="N28" s="28" t="s">
        <v>127</v>
      </c>
      <c r="O28" s="28" t="s">
        <v>128</v>
      </c>
      <c r="P28" s="28" t="s">
        <v>129</v>
      </c>
      <c r="Q28" s="28" t="s">
        <v>130</v>
      </c>
      <c r="R28" s="28" t="s">
        <v>131</v>
      </c>
    </row>
    <row r="29" spans="2:18" x14ac:dyDescent="0.3">
      <c r="B29" s="180" t="s">
        <v>142</v>
      </c>
      <c r="C29" s="180"/>
      <c r="D29" s="180"/>
      <c r="E29" s="180"/>
      <c r="F29" s="72">
        <v>-9</v>
      </c>
      <c r="G29" s="72">
        <v>-33</v>
      </c>
      <c r="H29" s="72">
        <f>'Company Financial Forecasts'!E18</f>
        <v>-42</v>
      </c>
      <c r="I29" s="72">
        <f ca="1">'Company Financial Forecasts'!F18</f>
        <v>-31.824770198166476</v>
      </c>
      <c r="J29" s="72">
        <f ca="1">'Company Financial Forecasts'!G18</f>
        <v>-42.616367984027669</v>
      </c>
      <c r="K29" s="72">
        <f ca="1">'Company Financial Forecasts'!H18</f>
        <v>-54.948169174523542</v>
      </c>
      <c r="L29" s="72">
        <f ca="1">'Company Financial Forecasts'!I18</f>
        <v>-68.116430104556102</v>
      </c>
      <c r="M29" s="72">
        <f>'Company Financial Forecasts'!J18</f>
        <v>-81.054304659899998</v>
      </c>
      <c r="N29" s="72">
        <f ca="1">-N31*N6</f>
        <v>-95.064418410811157</v>
      </c>
      <c r="O29" s="72">
        <f ca="1">-O31*O6</f>
        <v>-109.6023184946108</v>
      </c>
      <c r="P29" s="72">
        <f ca="1">-P31*P6</f>
        <v>-124.18009926125599</v>
      </c>
      <c r="Q29" s="72">
        <f ca="1">-Q31*Q6</f>
        <v>-138.22318209129435</v>
      </c>
      <c r="R29" s="72">
        <f ca="1">-R31*R6</f>
        <v>-151.10111831098021</v>
      </c>
    </row>
    <row r="30" spans="2:18" x14ac:dyDescent="0.3">
      <c r="B30" s="171" t="s">
        <v>135</v>
      </c>
      <c r="C30" s="171"/>
      <c r="D30" s="171"/>
      <c r="E30" s="171"/>
      <c r="F30" s="69" t="s">
        <v>65</v>
      </c>
      <c r="G30" s="47" cm="1">
        <f t="array" ref="G30">IF(ISERROR(G29/F29-1), nil, (G29/F29-1))</f>
        <v>2.6666666666666665</v>
      </c>
      <c r="H30" s="47" cm="1">
        <f t="array" ref="H30">IF(ISERROR(H29/G29-1), nil, (H29/G29-1))</f>
        <v>0.27272727272727271</v>
      </c>
      <c r="I30" s="47" cm="1">
        <f t="array" aca="1" ref="I30" ca="1">IF(ISERROR(I29/H29-1), nil, (I29/H29-1))</f>
        <v>-0.24226737623413153</v>
      </c>
      <c r="J30" s="47" cm="1">
        <f t="array" aca="1" ref="J30" ca="1">IF(ISERROR(J29/I29-1), nil, (J29/I29-1))</f>
        <v>0.33909428783504403</v>
      </c>
      <c r="K30" s="47" cm="1">
        <f t="array" aca="1" ref="K30" ca="1">IF(ISERROR(K29/J29-1), nil, (K29/J29-1))</f>
        <v>0.2893677188801671</v>
      </c>
      <c r="L30" s="47" cm="1">
        <f t="array" aca="1" ref="L30" ca="1">IF(ISERROR(L29/K29-1), nil, (L29/K29-1))</f>
        <v>0.23964876587986406</v>
      </c>
      <c r="M30" s="47" cm="1">
        <f t="array" aca="1" ref="M30" ca="1">IF(ISERROR(M29/L29-1), nil, (M29/L29-1))</f>
        <v>0.18993764845698391</v>
      </c>
      <c r="N30" s="47" cm="1">
        <f t="array" aca="1" ref="N30" ca="1">IF(ISERROR(N29/M29-1), nil, (N29/M29-1))</f>
        <v>0.17284848484848436</v>
      </c>
      <c r="O30" s="47" cm="1">
        <f t="array" aca="1" ref="O30" ca="1">IF(ISERROR(O29/N29-1), nil, (O29/N29-1))</f>
        <v>0.1529268292682926</v>
      </c>
      <c r="P30" s="47" cm="1">
        <f t="array" aca="1" ref="P30" ca="1">IF(ISERROR(P29/O29-1), nil, (P29/O29-1))</f>
        <v>0.13300613496932545</v>
      </c>
      <c r="Q30" s="47" cm="1">
        <f t="array" aca="1" ref="Q30" ca="1">IF(ISERROR(Q29/P29-1), nil, (Q29/P29-1))</f>
        <v>0.11308641975308653</v>
      </c>
      <c r="R30" s="47" cm="1">
        <f t="array" aca="1" ref="R30" ca="1">IF(ISERROR(R29/Q29-1), nil, (R29/Q29-1))</f>
        <v>9.3167701863354546E-2</v>
      </c>
    </row>
    <row r="31" spans="2:18" x14ac:dyDescent="0.3">
      <c r="B31" s="171" t="s">
        <v>143</v>
      </c>
      <c r="C31" s="171"/>
      <c r="D31" s="171"/>
      <c r="E31" s="171"/>
      <c r="F31" s="77">
        <f t="shared" ref="F31:M31" si="14">-F29/F6</f>
        <v>8.7293889427740058E-3</v>
      </c>
      <c r="G31" s="77">
        <f t="shared" si="14"/>
        <v>1.8151815181518153E-2</v>
      </c>
      <c r="H31" s="77">
        <f t="shared" si="14"/>
        <v>1.5765765765765764E-2</v>
      </c>
      <c r="I31" s="77">
        <f t="shared" ca="1" si="14"/>
        <v>8.5272995698401077E-3</v>
      </c>
      <c r="J31" s="77">
        <f t="shared" ca="1" si="14"/>
        <v>8.4584134404674938E-3</v>
      </c>
      <c r="K31" s="77">
        <f t="shared" ca="1" si="14"/>
        <v>8.3892348023699385E-3</v>
      </c>
      <c r="L31" s="77">
        <f t="shared" ca="1" si="14"/>
        <v>8.3197636555474401E-3</v>
      </c>
      <c r="M31" s="77">
        <f t="shared" si="14"/>
        <v>8.2500000000000021E-3</v>
      </c>
      <c r="N31" s="77">
        <f ca="1">AVERAGE(M31,O31)</f>
        <v>8.199999999999999E-3</v>
      </c>
      <c r="O31" s="77">
        <f t="shared" ref="O31:Q31" ca="1" si="15">AVERAGE(N31,P31)</f>
        <v>8.1499999999999975E-3</v>
      </c>
      <c r="P31" s="77">
        <f t="shared" ca="1" si="15"/>
        <v>8.0999999999999978E-3</v>
      </c>
      <c r="Q31" s="77">
        <f t="shared" ca="1" si="15"/>
        <v>8.0499999999999981E-3</v>
      </c>
      <c r="R31" s="77">
        <v>8.0000000000000002E-3</v>
      </c>
    </row>
    <row r="32" spans="2:18" x14ac:dyDescent="0.3">
      <c r="B32" s="171" t="s">
        <v>144</v>
      </c>
      <c r="C32" s="171"/>
      <c r="D32" s="171"/>
      <c r="E32" s="171"/>
      <c r="F32" s="47">
        <f t="shared" ref="F32:R32" si="16">(F9+F29)/F9</f>
        <v>0.98580441640378547</v>
      </c>
      <c r="G32" s="47">
        <f t="shared" si="16"/>
        <v>0.93465346534653471</v>
      </c>
      <c r="H32" s="47">
        <f t="shared" si="16"/>
        <v>0.95248868778280538</v>
      </c>
      <c r="I32" s="47">
        <f t="shared" ca="1" si="16"/>
        <v>0.97677957843498275</v>
      </c>
      <c r="J32" s="47">
        <f t="shared" ca="1" si="16"/>
        <v>0.97972734120728955</v>
      </c>
      <c r="K32" s="47">
        <f t="shared" ca="1" si="16"/>
        <v>0.98136402862573568</v>
      </c>
      <c r="L32" s="47">
        <f t="shared" ca="1" si="16"/>
        <v>0.98238348276866871</v>
      </c>
      <c r="M32" s="47">
        <f t="shared" si="16"/>
        <v>0.98307000844208015</v>
      </c>
      <c r="N32" s="47">
        <f t="shared" ca="1" si="16"/>
        <v>0.98359731218121071</v>
      </c>
      <c r="O32" s="47">
        <f t="shared" ca="1" si="16"/>
        <v>0.98401312968139598</v>
      </c>
      <c r="P32" s="47">
        <f t="shared" ca="1" si="16"/>
        <v>0.98432130665400708</v>
      </c>
      <c r="Q32" s="47">
        <f t="shared" ca="1" si="16"/>
        <v>0.98452363377180097</v>
      </c>
      <c r="R32" s="47">
        <f t="shared" ca="1" si="16"/>
        <v>0.98461976027011278</v>
      </c>
    </row>
    <row r="33" spans="2:18" x14ac:dyDescent="0.3">
      <c r="B33" s="175" t="s">
        <v>145</v>
      </c>
      <c r="C33" s="175"/>
      <c r="D33" s="175"/>
      <c r="E33" s="175"/>
      <c r="F33" s="72">
        <v>36</v>
      </c>
      <c r="G33" s="72">
        <v>-81</v>
      </c>
      <c r="H33" s="72">
        <f>289-(-17)</f>
        <v>306</v>
      </c>
      <c r="I33" s="72">
        <f>'Company Financial Forecasts'!F23</f>
        <v>18.6605208</v>
      </c>
      <c r="J33" s="72">
        <f>'Company Financial Forecasts'!G23</f>
        <v>50.383406159999993</v>
      </c>
      <c r="K33" s="72">
        <f>'Company Financial Forecasts'!H23</f>
        <v>98.247642011999986</v>
      </c>
      <c r="L33" s="72">
        <f>'Company Financial Forecasts'!I23</f>
        <v>163.74607001999996</v>
      </c>
      <c r="M33" s="72">
        <f>'Company Financial Forecasts'!J23</f>
        <v>245.61910502999996</v>
      </c>
      <c r="N33" s="72">
        <f ca="1">M33+(M33*N34)</f>
        <v>348.77912914259997</v>
      </c>
      <c r="O33" s="72">
        <f t="shared" ref="O33:R33" ca="1" si="17">N33+(N33*O34)</f>
        <v>467.36403305108399</v>
      </c>
      <c r="P33" s="72">
        <f t="shared" ca="1" si="17"/>
        <v>588.87868164436588</v>
      </c>
      <c r="Q33" s="72">
        <f t="shared" ca="1" si="17"/>
        <v>694.87684434035179</v>
      </c>
      <c r="R33" s="72">
        <f t="shared" ca="1" si="17"/>
        <v>764.36452877438694</v>
      </c>
    </row>
    <row r="34" spans="2:18" x14ac:dyDescent="0.3">
      <c r="B34" s="184" t="s">
        <v>135</v>
      </c>
      <c r="C34" s="185"/>
      <c r="D34" s="185"/>
      <c r="E34" s="186"/>
      <c r="F34" s="69" t="s">
        <v>65</v>
      </c>
      <c r="G34" s="46">
        <f t="shared" ref="G34:H34" si="18">(G33-F33)/F33</f>
        <v>-3.25</v>
      </c>
      <c r="H34" s="46">
        <f t="shared" si="18"/>
        <v>-4.7777777777777777</v>
      </c>
      <c r="I34" s="46">
        <f>(I33-H33)/H33</f>
        <v>-0.93901790588235301</v>
      </c>
      <c r="J34" s="46">
        <f t="shared" ref="J34:M34" si="19">(J33-I33)/I33</f>
        <v>1.6999999999999995</v>
      </c>
      <c r="K34" s="46">
        <f t="shared" si="19"/>
        <v>0.95</v>
      </c>
      <c r="L34" s="46">
        <f t="shared" si="19"/>
        <v>0.66666666666666652</v>
      </c>
      <c r="M34" s="46">
        <f t="shared" si="19"/>
        <v>0.50000000000000011</v>
      </c>
      <c r="N34" s="46">
        <f ca="1">AVERAGE(M34,O34)</f>
        <v>0.42000000000000015</v>
      </c>
      <c r="O34" s="46">
        <f t="shared" ref="O34:Q34" ca="1" si="20">AVERAGE(N34,P34)</f>
        <v>0.34000000000000014</v>
      </c>
      <c r="P34" s="46">
        <f t="shared" ca="1" si="20"/>
        <v>0.26000000000000012</v>
      </c>
      <c r="Q34" s="46">
        <f t="shared" ca="1" si="20"/>
        <v>0.18000000000000005</v>
      </c>
      <c r="R34" s="46">
        <v>0.1</v>
      </c>
    </row>
    <row r="35" spans="2:18" x14ac:dyDescent="0.3">
      <c r="B35" s="171" t="s">
        <v>143</v>
      </c>
      <c r="C35" s="171"/>
      <c r="D35" s="171"/>
      <c r="E35" s="171"/>
      <c r="F35" s="77">
        <f>F33/F6</f>
        <v>3.4917555771096023E-2</v>
      </c>
      <c r="G35" s="77">
        <f t="shared" ref="G35:R35" si="21">G33/G6</f>
        <v>-4.4554455445544552E-2</v>
      </c>
      <c r="H35" s="77">
        <f t="shared" si="21"/>
        <v>0.11486486486486487</v>
      </c>
      <c r="I35" s="77">
        <f t="shared" si="21"/>
        <v>5.0000000000000001E-3</v>
      </c>
      <c r="J35" s="77">
        <f t="shared" si="21"/>
        <v>0.01</v>
      </c>
      <c r="K35" s="77">
        <f t="shared" si="21"/>
        <v>1.4999999999999999E-2</v>
      </c>
      <c r="L35" s="77">
        <f t="shared" si="21"/>
        <v>0.02</v>
      </c>
      <c r="M35" s="77">
        <f t="shared" si="21"/>
        <v>2.5000000000000001E-2</v>
      </c>
      <c r="N35" s="77">
        <f t="shared" ca="1" si="21"/>
        <v>3.0084745762711869E-2</v>
      </c>
      <c r="O35" s="77">
        <f t="shared" ca="1" si="21"/>
        <v>3.4753068381063713E-2</v>
      </c>
      <c r="P35" s="77">
        <f t="shared" ca="1" si="21"/>
        <v>3.841128610538621E-2</v>
      </c>
      <c r="Q35" s="77">
        <f t="shared" ca="1" si="21"/>
        <v>4.0469033575317608E-2</v>
      </c>
      <c r="R35" s="77">
        <f t="shared" ca="1" si="21"/>
        <v>4.0469033575317601E-2</v>
      </c>
    </row>
  </sheetData>
  <mergeCells count="36">
    <mergeCell ref="B35:E35"/>
    <mergeCell ref="B30:E30"/>
    <mergeCell ref="B31:E31"/>
    <mergeCell ref="B32:E32"/>
    <mergeCell ref="B33:E33"/>
    <mergeCell ref="B34:E34"/>
    <mergeCell ref="F27:H27"/>
    <mergeCell ref="I27:M27"/>
    <mergeCell ref="N27:R27"/>
    <mergeCell ref="B28:E28"/>
    <mergeCell ref="B25:R25"/>
    <mergeCell ref="B29:E29"/>
    <mergeCell ref="B18:E18"/>
    <mergeCell ref="B19:E19"/>
    <mergeCell ref="B20:E20"/>
    <mergeCell ref="B21:E21"/>
    <mergeCell ref="B22:E22"/>
    <mergeCell ref="B27:E27"/>
    <mergeCell ref="B17:E17"/>
    <mergeCell ref="B6:E6"/>
    <mergeCell ref="B5:E5"/>
    <mergeCell ref="B8:E8"/>
    <mergeCell ref="B9:E9"/>
    <mergeCell ref="B11:E11"/>
    <mergeCell ref="B12:E12"/>
    <mergeCell ref="B13:E13"/>
    <mergeCell ref="B14:E14"/>
    <mergeCell ref="B15:E15"/>
    <mergeCell ref="B16:E16"/>
    <mergeCell ref="B7:E7"/>
    <mergeCell ref="B10:E10"/>
    <mergeCell ref="F4:H4"/>
    <mergeCell ref="I4:M4"/>
    <mergeCell ref="N4:R4"/>
    <mergeCell ref="B4:E4"/>
    <mergeCell ref="B2:R2"/>
  </mergeCells>
  <phoneticPr fontId="7" type="noConversion"/>
  <pageMargins left="0.7" right="0.7" top="0.75" bottom="0.75" header="0.3" footer="0.3"/>
  <ignoredErrors>
    <ignoredError sqref="N8:R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6A96E-36FF-4A6C-A2D2-11C8B604C638}">
  <dimension ref="B2:Y99"/>
  <sheetViews>
    <sheetView topLeftCell="A56" zoomScale="61" workbookViewId="0">
      <selection activeCell="N67" sqref="N67"/>
    </sheetView>
  </sheetViews>
  <sheetFormatPr defaultRowHeight="18" x14ac:dyDescent="0.35"/>
  <cols>
    <col min="1" max="1" width="8.88671875" style="79"/>
    <col min="2" max="2" width="24" style="79" customWidth="1"/>
    <col min="3" max="3" width="19.21875" style="79" customWidth="1"/>
    <col min="4" max="4" width="18.5546875" style="79" bestFit="1" customWidth="1"/>
    <col min="5" max="5" width="17.6640625" style="79" bestFit="1" customWidth="1"/>
    <col min="6" max="6" width="17.33203125" style="79" bestFit="1" customWidth="1"/>
    <col min="7" max="7" width="17.21875" style="79" bestFit="1" customWidth="1"/>
    <col min="8" max="8" width="12.33203125" style="79" bestFit="1" customWidth="1"/>
    <col min="9" max="9" width="12.44140625" style="79" bestFit="1" customWidth="1"/>
    <col min="10" max="14" width="17.109375" style="79" bestFit="1" customWidth="1"/>
    <col min="15" max="15" width="13.77734375" style="79" bestFit="1" customWidth="1"/>
    <col min="16" max="16" width="16.44140625" style="79" customWidth="1"/>
    <col min="17" max="17" width="8.88671875" style="79"/>
    <col min="18" max="18" width="6.33203125" style="79" customWidth="1"/>
    <col min="19" max="19" width="8.88671875" style="79"/>
    <col min="20" max="20" width="8.88671875" style="79" customWidth="1"/>
    <col min="21" max="22" width="8.88671875" style="79"/>
    <col min="23" max="23" width="8.88671875" style="79" customWidth="1"/>
    <col min="24" max="24" width="5.88671875" style="79" customWidth="1"/>
    <col min="25" max="16384" width="8.88671875" style="79"/>
  </cols>
  <sheetData>
    <row r="2" spans="2:25" x14ac:dyDescent="0.35">
      <c r="B2" s="203" t="s">
        <v>210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</row>
    <row r="4" spans="2:25" x14ac:dyDescent="0.35">
      <c r="B4" s="203" t="s">
        <v>30</v>
      </c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</row>
    <row r="5" spans="2:25" x14ac:dyDescent="0.35">
      <c r="B5" s="204" t="s">
        <v>152</v>
      </c>
      <c r="C5" s="204"/>
      <c r="D5" s="207">
        <f>'Assumptions '!G4</f>
        <v>46112</v>
      </c>
      <c r="E5" s="199"/>
    </row>
    <row r="6" spans="2:25" x14ac:dyDescent="0.35">
      <c r="B6" s="205" t="s">
        <v>153</v>
      </c>
      <c r="C6" s="206"/>
      <c r="D6" s="207">
        <f>D5+365</f>
        <v>46477</v>
      </c>
      <c r="E6" s="199"/>
    </row>
    <row r="7" spans="2:25" x14ac:dyDescent="0.35">
      <c r="B7" s="205" t="s">
        <v>154</v>
      </c>
      <c r="C7" s="206"/>
      <c r="D7" s="198">
        <v>0.01</v>
      </c>
      <c r="E7" s="199"/>
      <c r="F7" s="201" t="s">
        <v>186</v>
      </c>
      <c r="G7" s="201"/>
      <c r="H7" s="201"/>
      <c r="I7" s="201"/>
      <c r="J7" s="201"/>
      <c r="K7" s="201"/>
      <c r="L7" s="201"/>
      <c r="M7" s="201"/>
      <c r="N7" s="201"/>
    </row>
    <row r="8" spans="2:25" x14ac:dyDescent="0.35">
      <c r="B8" s="205" t="s">
        <v>155</v>
      </c>
      <c r="C8" s="206"/>
      <c r="D8" s="197">
        <v>12</v>
      </c>
      <c r="E8" s="197"/>
      <c r="F8" s="201" t="s">
        <v>187</v>
      </c>
      <c r="G8" s="201"/>
      <c r="H8" s="201"/>
      <c r="I8" s="201"/>
      <c r="J8" s="201"/>
      <c r="K8" s="201"/>
      <c r="L8" s="201"/>
      <c r="M8" s="201"/>
      <c r="N8" s="201"/>
      <c r="O8"/>
      <c r="P8"/>
      <c r="Q8"/>
      <c r="R8"/>
      <c r="S8"/>
      <c r="T8"/>
      <c r="U8"/>
      <c r="V8"/>
      <c r="W8"/>
      <c r="X8"/>
      <c r="Y8"/>
    </row>
    <row r="9" spans="2:25" x14ac:dyDescent="0.35">
      <c r="B9" s="205" t="s">
        <v>156</v>
      </c>
      <c r="C9" s="206"/>
      <c r="D9" s="198">
        <v>0.06</v>
      </c>
      <c r="E9" s="199"/>
      <c r="F9" s="201" t="s">
        <v>188</v>
      </c>
      <c r="G9" s="201"/>
      <c r="H9" s="201"/>
      <c r="I9" s="201"/>
      <c r="J9" s="201"/>
      <c r="K9" s="201"/>
      <c r="L9" s="201"/>
      <c r="M9" s="201"/>
      <c r="N9" s="201"/>
    </row>
    <row r="11" spans="2:25" x14ac:dyDescent="0.35">
      <c r="B11" s="203" t="s">
        <v>157</v>
      </c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8"/>
      <c r="Q11" s="208"/>
      <c r="R11" s="208"/>
    </row>
    <row r="12" spans="2:25" x14ac:dyDescent="0.35">
      <c r="B12" s="81" t="s">
        <v>158</v>
      </c>
      <c r="C12" s="80"/>
      <c r="D12" s="82">
        <v>12</v>
      </c>
      <c r="E12" s="82">
        <v>12</v>
      </c>
      <c r="F12" s="82">
        <v>12</v>
      </c>
      <c r="G12" s="82">
        <v>12</v>
      </c>
      <c r="H12" s="82">
        <v>12</v>
      </c>
      <c r="I12" s="82">
        <v>12</v>
      </c>
      <c r="J12" s="82">
        <v>12</v>
      </c>
      <c r="K12" s="82">
        <v>12</v>
      </c>
      <c r="L12" s="82">
        <v>12</v>
      </c>
      <c r="M12" s="82">
        <v>12</v>
      </c>
      <c r="N12" s="82">
        <v>12</v>
      </c>
      <c r="O12" s="83">
        <v>12</v>
      </c>
      <c r="P12" s="200" t="s">
        <v>161</v>
      </c>
      <c r="Q12" s="200"/>
      <c r="R12" s="200"/>
      <c r="S12" s="200"/>
      <c r="T12" s="200"/>
      <c r="U12" s="200"/>
    </row>
    <row r="13" spans="2:25" ht="14.4" customHeight="1" x14ac:dyDescent="0.35">
      <c r="B13" s="81" t="s">
        <v>159</v>
      </c>
      <c r="C13" s="80"/>
      <c r="D13" s="82">
        <v>1</v>
      </c>
      <c r="E13" s="82">
        <v>1</v>
      </c>
      <c r="F13" s="82">
        <v>1</v>
      </c>
      <c r="G13" s="82">
        <v>0</v>
      </c>
      <c r="H13" s="82">
        <v>0</v>
      </c>
      <c r="I13" s="82">
        <v>0</v>
      </c>
      <c r="J13" s="82">
        <v>0</v>
      </c>
      <c r="K13" s="82">
        <v>0</v>
      </c>
      <c r="L13" s="82">
        <v>0</v>
      </c>
      <c r="M13" s="82">
        <v>0</v>
      </c>
      <c r="N13" s="82">
        <v>0</v>
      </c>
      <c r="O13" s="82">
        <v>0</v>
      </c>
      <c r="P13" s="200"/>
      <c r="Q13" s="200"/>
      <c r="R13" s="200"/>
      <c r="S13" s="200"/>
      <c r="T13" s="200"/>
      <c r="U13" s="200"/>
    </row>
    <row r="14" spans="2:25" x14ac:dyDescent="0.35">
      <c r="P14" s="200"/>
      <c r="Q14" s="200"/>
      <c r="R14" s="200"/>
      <c r="S14" s="200"/>
      <c r="T14" s="200"/>
      <c r="U14" s="200"/>
    </row>
    <row r="15" spans="2:25" x14ac:dyDescent="0.35">
      <c r="C15" s="209" t="s">
        <v>107</v>
      </c>
      <c r="D15" s="209"/>
      <c r="E15" s="209"/>
      <c r="F15" s="201" t="s">
        <v>125</v>
      </c>
      <c r="G15" s="201"/>
      <c r="H15" s="201"/>
      <c r="I15" s="201"/>
      <c r="J15" s="201"/>
      <c r="K15" s="210" t="s">
        <v>126</v>
      </c>
      <c r="L15" s="210"/>
      <c r="M15" s="210"/>
      <c r="N15" s="210"/>
      <c r="O15" s="210"/>
    </row>
    <row r="16" spans="2:25" x14ac:dyDescent="0.35">
      <c r="B16" s="80" t="s">
        <v>160</v>
      </c>
      <c r="C16" s="85" t="s">
        <v>115</v>
      </c>
      <c r="D16" s="85" t="s">
        <v>106</v>
      </c>
      <c r="E16" s="85" t="s">
        <v>64</v>
      </c>
      <c r="F16" s="85" t="s">
        <v>52</v>
      </c>
      <c r="G16" s="85" t="s">
        <v>43</v>
      </c>
      <c r="H16" s="85" t="s">
        <v>44</v>
      </c>
      <c r="I16" s="85" t="s">
        <v>45</v>
      </c>
      <c r="J16" s="85" t="s">
        <v>53</v>
      </c>
      <c r="K16" s="85" t="s">
        <v>127</v>
      </c>
      <c r="L16" s="85" t="s">
        <v>128</v>
      </c>
      <c r="M16" s="85" t="s">
        <v>129</v>
      </c>
      <c r="N16" s="85" t="s">
        <v>130</v>
      </c>
      <c r="O16" s="85" t="s">
        <v>131</v>
      </c>
    </row>
    <row r="17" spans="2:15" x14ac:dyDescent="0.35">
      <c r="B17" s="86" t="s">
        <v>69</v>
      </c>
      <c r="C17" s="87">
        <f>Financials!F6</f>
        <v>1031</v>
      </c>
      <c r="D17" s="87">
        <f>Financials!G6</f>
        <v>1818</v>
      </c>
      <c r="E17" s="87">
        <f>Financials!H6</f>
        <v>2664</v>
      </c>
      <c r="F17" s="87">
        <f>Financials!I6</f>
        <v>3732.1041599999999</v>
      </c>
      <c r="G17" s="87">
        <f>Financials!J6</f>
        <v>5038.3406159999995</v>
      </c>
      <c r="H17" s="87">
        <f>Financials!K6</f>
        <v>6549.8428007999992</v>
      </c>
      <c r="I17" s="87">
        <f>Financials!L6</f>
        <v>8187.3035009999985</v>
      </c>
      <c r="J17" s="87">
        <f>Financials!M6</f>
        <v>9824.7642011999978</v>
      </c>
      <c r="K17" s="87">
        <f ca="1">Financials!N6</f>
        <v>11593.221757415997</v>
      </c>
      <c r="L17" s="87">
        <f ca="1">Financials!O6</f>
        <v>13448.137238602556</v>
      </c>
      <c r="M17" s="87">
        <f ca="1">Financials!P6</f>
        <v>15330.876452006916</v>
      </c>
      <c r="N17" s="87">
        <f ca="1">Financials!Q6</f>
        <v>17170.581626247749</v>
      </c>
      <c r="O17" s="87">
        <f ca="1">Financials!R6</f>
        <v>18887.639788872526</v>
      </c>
    </row>
    <row r="18" spans="2:15" x14ac:dyDescent="0.35">
      <c r="B18" s="88" t="s">
        <v>135</v>
      </c>
      <c r="C18" s="89">
        <f t="shared" ref="C18:O18" si="0">IFERROR(C17/B17-1,0)</f>
        <v>0</v>
      </c>
      <c r="D18" s="89">
        <f t="shared" si="0"/>
        <v>0.76333656644034908</v>
      </c>
      <c r="E18" s="89">
        <f t="shared" si="0"/>
        <v>0.46534653465346532</v>
      </c>
      <c r="F18" s="89">
        <f t="shared" si="0"/>
        <v>0.40093999999999985</v>
      </c>
      <c r="G18" s="89">
        <f t="shared" si="0"/>
        <v>0.34999999999999987</v>
      </c>
      <c r="H18" s="89">
        <f t="shared" si="0"/>
        <v>0.30000000000000004</v>
      </c>
      <c r="I18" s="89">
        <f t="shared" si="0"/>
        <v>0.25</v>
      </c>
      <c r="J18" s="89">
        <f t="shared" si="0"/>
        <v>0.19999999999999996</v>
      </c>
      <c r="K18" s="89">
        <f t="shared" ca="1" si="0"/>
        <v>0.17999999999999994</v>
      </c>
      <c r="L18" s="89">
        <f t="shared" ca="1" si="0"/>
        <v>0.15999999999999992</v>
      </c>
      <c r="M18" s="89">
        <f t="shared" ca="1" si="0"/>
        <v>0.14000000000000012</v>
      </c>
      <c r="N18" s="89">
        <f t="shared" ca="1" si="0"/>
        <v>0.12000000000000011</v>
      </c>
      <c r="O18" s="89">
        <f t="shared" ca="1" si="0"/>
        <v>0.10000000000000009</v>
      </c>
    </row>
    <row r="20" spans="2:15" x14ac:dyDescent="0.35">
      <c r="B20" s="86" t="s">
        <v>79</v>
      </c>
      <c r="C20" s="87">
        <f>Financials!F9</f>
        <v>634</v>
      </c>
      <c r="D20" s="87">
        <f>Financials!G9</f>
        <v>505</v>
      </c>
      <c r="E20" s="87">
        <f>Financials!H9</f>
        <v>883.99999999999977</v>
      </c>
      <c r="F20" s="87">
        <f ca="1">Financials!I9</f>
        <v>1370.5509225599992</v>
      </c>
      <c r="G20" s="87">
        <f ca="1">Financials!J9</f>
        <v>2102.1597817919992</v>
      </c>
      <c r="H20" s="87">
        <f ca="1">Financials!K9</f>
        <v>2948.5004066063993</v>
      </c>
      <c r="I20" s="87">
        <f ca="1">Financials!L9</f>
        <v>3866.6229658271996</v>
      </c>
      <c r="J20" s="87">
        <f>Financials!M9</f>
        <v>4787.6163660567354</v>
      </c>
      <c r="K20" s="87">
        <f ca="1">Financials!N9</f>
        <v>5795.6610197698965</v>
      </c>
      <c r="L20" s="87">
        <f ca="1">Financials!O9</f>
        <v>6855.7707862974285</v>
      </c>
      <c r="M20" s="87">
        <f ca="1">Financials!P9</f>
        <v>7920.3092069527411</v>
      </c>
      <c r="N20" s="87">
        <f ca="1">Financials!Q9</f>
        <v>8931.2426478667003</v>
      </c>
      <c r="O20" s="87">
        <f ca="1">Financials!R9</f>
        <v>9824.3669126533714</v>
      </c>
    </row>
    <row r="21" spans="2:15" x14ac:dyDescent="0.35">
      <c r="B21" s="88" t="s">
        <v>136</v>
      </c>
      <c r="C21" s="89">
        <f>C20/C17</f>
        <v>0.61493695441319107</v>
      </c>
      <c r="D21" s="89">
        <f t="shared" ref="D21:O21" si="1">D20/D17</f>
        <v>0.27777777777777779</v>
      </c>
      <c r="E21" s="89">
        <f t="shared" si="1"/>
        <v>0.33183183183183174</v>
      </c>
      <c r="F21" s="89">
        <f t="shared" ca="1" si="1"/>
        <v>0.36723276302127628</v>
      </c>
      <c r="G21" s="89">
        <f t="shared" ca="1" si="1"/>
        <v>0.41723256564200489</v>
      </c>
      <c r="H21" s="89">
        <f t="shared" ca="1" si="1"/>
        <v>0.45016353770296119</v>
      </c>
      <c r="I21" s="89">
        <f t="shared" ca="1" si="1"/>
        <v>0.47227062797353603</v>
      </c>
      <c r="J21" s="89">
        <f t="shared" si="1"/>
        <v>0.48730089272493432</v>
      </c>
      <c r="K21" s="89">
        <f t="shared" ca="1" si="1"/>
        <v>0.49991806773319986</v>
      </c>
      <c r="L21" s="89">
        <f t="shared" ca="1" si="1"/>
        <v>0.5097933390074354</v>
      </c>
      <c r="M21" s="89">
        <f t="shared" ca="1" si="1"/>
        <v>0.51662468429297914</v>
      </c>
      <c r="N21" s="89">
        <f t="shared" ca="1" si="1"/>
        <v>0.52014793920632174</v>
      </c>
      <c r="O21" s="89">
        <f t="shared" ca="1" si="1"/>
        <v>0.52014793920632185</v>
      </c>
    </row>
    <row r="22" spans="2:15" x14ac:dyDescent="0.35">
      <c r="B22" s="88" t="s">
        <v>135</v>
      </c>
      <c r="C22" s="89">
        <f>IFERROR(C20/B20-1,0)</f>
        <v>0</v>
      </c>
      <c r="D22" s="89">
        <f t="shared" ref="D22:O22" si="2">IFERROR(D20/C20-1,0)</f>
        <v>-0.20347003154574128</v>
      </c>
      <c r="E22" s="89">
        <f t="shared" si="2"/>
        <v>0.75049504950495005</v>
      </c>
      <c r="F22" s="89">
        <f t="shared" ca="1" si="2"/>
        <v>0.55039697122171893</v>
      </c>
      <c r="G22" s="89">
        <f t="shared" ca="1" si="2"/>
        <v>0.5338064038258834</v>
      </c>
      <c r="H22" s="89">
        <f t="shared" ca="1" si="2"/>
        <v>0.40260527869719387</v>
      </c>
      <c r="I22" s="89">
        <f t="shared" ca="1" si="2"/>
        <v>0.3113862752617087</v>
      </c>
      <c r="J22" s="89">
        <f t="shared" ca="1" si="2"/>
        <v>0.23819064035184634</v>
      </c>
      <c r="K22" s="89">
        <f t="shared" ca="1" si="2"/>
        <v>0.21055251228147709</v>
      </c>
      <c r="L22" s="89">
        <f t="shared" ca="1" si="2"/>
        <v>0.18291438421110784</v>
      </c>
      <c r="M22" s="89">
        <f t="shared" ca="1" si="2"/>
        <v>0.15527625614073859</v>
      </c>
      <c r="N22" s="89">
        <f t="shared" ca="1" si="2"/>
        <v>0.12763812807036934</v>
      </c>
      <c r="O22" s="89">
        <f t="shared" ca="1" si="2"/>
        <v>0.10000000000000009</v>
      </c>
    </row>
    <row r="24" spans="2:15" x14ac:dyDescent="0.35">
      <c r="B24" s="86" t="s">
        <v>162</v>
      </c>
      <c r="C24" s="87">
        <f>Financials!F13</f>
        <v>113</v>
      </c>
      <c r="D24" s="87">
        <f>Financials!G13</f>
        <v>113</v>
      </c>
      <c r="E24" s="87">
        <f>Financials!H13</f>
        <v>113</v>
      </c>
      <c r="F24" s="87">
        <f>Financials!I13</f>
        <v>113</v>
      </c>
      <c r="G24" s="87">
        <f>Financials!J13</f>
        <v>113</v>
      </c>
      <c r="H24" s="87">
        <f>Financials!K13</f>
        <v>113</v>
      </c>
      <c r="I24" s="87">
        <f>Financials!L13</f>
        <v>113</v>
      </c>
      <c r="J24" s="87">
        <f>Financials!M13</f>
        <v>113</v>
      </c>
      <c r="K24" s="87">
        <f>Financials!N13</f>
        <v>113</v>
      </c>
      <c r="L24" s="87">
        <f>Financials!O13</f>
        <v>113</v>
      </c>
      <c r="M24" s="87">
        <f>Financials!P13</f>
        <v>113</v>
      </c>
      <c r="N24" s="87">
        <f>Financials!Q13</f>
        <v>113</v>
      </c>
      <c r="O24" s="87">
        <f>Financials!R13</f>
        <v>113</v>
      </c>
    </row>
    <row r="25" spans="2:15" x14ac:dyDescent="0.35">
      <c r="B25" s="88" t="s">
        <v>143</v>
      </c>
      <c r="C25" s="89">
        <f>C24/C17</f>
        <v>0.1096023278370514</v>
      </c>
      <c r="D25" s="89">
        <f t="shared" ref="D25:O25" si="3">D24/D17</f>
        <v>6.2156215621562157E-2</v>
      </c>
      <c r="E25" s="89">
        <f t="shared" si="3"/>
        <v>4.2417417417417419E-2</v>
      </c>
      <c r="F25" s="89">
        <f t="shared" si="3"/>
        <v>3.0277825900764787E-2</v>
      </c>
      <c r="G25" s="89">
        <f t="shared" si="3"/>
        <v>2.2428019185751696E-2</v>
      </c>
      <c r="H25" s="89">
        <f t="shared" si="3"/>
        <v>1.7252322450578228E-2</v>
      </c>
      <c r="I25" s="89">
        <f t="shared" si="3"/>
        <v>1.3801857960462582E-2</v>
      </c>
      <c r="J25" s="89">
        <f t="shared" si="3"/>
        <v>1.1501548300385486E-2</v>
      </c>
      <c r="K25" s="89">
        <f t="shared" ca="1" si="3"/>
        <v>9.7470748308351573E-3</v>
      </c>
      <c r="L25" s="89">
        <f t="shared" ca="1" si="3"/>
        <v>8.4026507162372061E-3</v>
      </c>
      <c r="M25" s="89">
        <f t="shared" ca="1" si="3"/>
        <v>7.370746242313337E-3</v>
      </c>
      <c r="N25" s="89">
        <f t="shared" ca="1" si="3"/>
        <v>6.5810234306369064E-3</v>
      </c>
      <c r="O25" s="89">
        <f t="shared" ca="1" si="3"/>
        <v>5.9827485733062779E-3</v>
      </c>
    </row>
    <row r="26" spans="2:15" x14ac:dyDescent="0.35">
      <c r="B26" s="88" t="s">
        <v>163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8" spans="2:15" x14ac:dyDescent="0.35">
      <c r="B28" s="86" t="s">
        <v>138</v>
      </c>
      <c r="C28" s="87">
        <f>Financials!F16</f>
        <v>521</v>
      </c>
      <c r="D28" s="87">
        <f>Financials!G16</f>
        <v>392</v>
      </c>
      <c r="E28" s="87">
        <f>Financials!H16</f>
        <v>770.99999999999977</v>
      </c>
      <c r="F28" s="87">
        <f ca="1">Financials!I16</f>
        <v>1370.5509225599992</v>
      </c>
      <c r="G28" s="87">
        <f ca="1">Financials!J16</f>
        <v>2102.1597817919992</v>
      </c>
      <c r="H28" s="87">
        <f ca="1">Financials!K16</f>
        <v>2948.5004066063993</v>
      </c>
      <c r="I28" s="87">
        <f ca="1">Financials!L16</f>
        <v>3866.6229658271996</v>
      </c>
      <c r="J28" s="87">
        <f>Financials!M16</f>
        <v>4787.6163660567354</v>
      </c>
      <c r="K28" s="87">
        <f ca="1">Financials!N16</f>
        <v>5795.6610197698965</v>
      </c>
      <c r="L28" s="87">
        <f ca="1">Financials!O16</f>
        <v>6855.7707862974285</v>
      </c>
      <c r="M28" s="87">
        <f ca="1">Financials!P16</f>
        <v>7920.3092069527411</v>
      </c>
      <c r="N28" s="87">
        <f ca="1">Financials!Q16</f>
        <v>8931.2426478667003</v>
      </c>
      <c r="O28" s="87">
        <f ca="1">Financials!R16</f>
        <v>9824.3669126533696</v>
      </c>
    </row>
    <row r="29" spans="2:15" x14ac:dyDescent="0.35">
      <c r="B29" s="88" t="s">
        <v>136</v>
      </c>
      <c r="C29" s="89">
        <f>C28/C17</f>
        <v>0.5053346265761397</v>
      </c>
      <c r="D29" s="89">
        <f t="shared" ref="D29:O29" si="4">D28/D17</f>
        <v>0.21562156215621561</v>
      </c>
      <c r="E29" s="89">
        <f t="shared" si="4"/>
        <v>0.28941441441441434</v>
      </c>
      <c r="F29" s="89">
        <f t="shared" ca="1" si="4"/>
        <v>0.36723276302127628</v>
      </c>
      <c r="G29" s="89">
        <f t="shared" ca="1" si="4"/>
        <v>0.41723256564200489</v>
      </c>
      <c r="H29" s="89">
        <f t="shared" ca="1" si="4"/>
        <v>0.45016353770296119</v>
      </c>
      <c r="I29" s="89">
        <f t="shared" ca="1" si="4"/>
        <v>0.47227062797353603</v>
      </c>
      <c r="J29" s="89">
        <f t="shared" si="4"/>
        <v>0.48730089272493432</v>
      </c>
      <c r="K29" s="89">
        <f t="shared" ca="1" si="4"/>
        <v>0.49991806773319986</v>
      </c>
      <c r="L29" s="89">
        <f t="shared" ca="1" si="4"/>
        <v>0.5097933390074354</v>
      </c>
      <c r="M29" s="89">
        <f t="shared" ca="1" si="4"/>
        <v>0.51662468429297914</v>
      </c>
      <c r="N29" s="89">
        <f t="shared" ca="1" si="4"/>
        <v>0.52014793920632174</v>
      </c>
      <c r="O29" s="89">
        <f t="shared" ca="1" si="4"/>
        <v>0.52014793920632174</v>
      </c>
    </row>
    <row r="30" spans="2:15" x14ac:dyDescent="0.35">
      <c r="B30" s="88" t="s">
        <v>135</v>
      </c>
      <c r="C30" s="89">
        <f>IFERROR(C28/B28-1,0)</f>
        <v>0</v>
      </c>
      <c r="D30" s="89">
        <f t="shared" ref="D30:O30" si="5">IFERROR(D28/C28-1,0)</f>
        <v>-0.24760076775431861</v>
      </c>
      <c r="E30" s="89">
        <f t="shared" si="5"/>
        <v>0.96683673469387688</v>
      </c>
      <c r="F30" s="89">
        <f t="shared" ca="1" si="5"/>
        <v>0.77762765571984382</v>
      </c>
      <c r="G30" s="89">
        <f t="shared" ca="1" si="5"/>
        <v>0.5338064038258834</v>
      </c>
      <c r="H30" s="89">
        <f t="shared" ca="1" si="5"/>
        <v>0.40260527869719387</v>
      </c>
      <c r="I30" s="89">
        <f t="shared" ca="1" si="5"/>
        <v>0.3113862752617087</v>
      </c>
      <c r="J30" s="89">
        <f t="shared" ca="1" si="5"/>
        <v>0.23819064035184634</v>
      </c>
      <c r="K30" s="89">
        <f t="shared" ca="1" si="5"/>
        <v>0.21055251228147709</v>
      </c>
      <c r="L30" s="89">
        <f t="shared" ca="1" si="5"/>
        <v>0.18291438421110784</v>
      </c>
      <c r="M30" s="89">
        <f t="shared" ca="1" si="5"/>
        <v>0.15527625614073859</v>
      </c>
      <c r="N30" s="89">
        <f t="shared" ca="1" si="5"/>
        <v>0.12763812807036934</v>
      </c>
      <c r="O30" s="89">
        <f t="shared" ca="1" si="5"/>
        <v>9.9999999999999867E-2</v>
      </c>
    </row>
    <row r="32" spans="2:15" x14ac:dyDescent="0.35">
      <c r="B32" s="86" t="s">
        <v>164</v>
      </c>
      <c r="C32" s="90">
        <f>C28*C33</f>
        <v>104.2</v>
      </c>
      <c r="D32" s="90">
        <f t="shared" ref="D32:O32" si="6">D28*D33</f>
        <v>78.400000000000006</v>
      </c>
      <c r="E32" s="90">
        <f t="shared" si="6"/>
        <v>154.19999999999996</v>
      </c>
      <c r="F32" s="90">
        <f t="shared" ca="1" si="6"/>
        <v>274.11018451199988</v>
      </c>
      <c r="G32" s="90">
        <f t="shared" ca="1" si="6"/>
        <v>420.43195635839987</v>
      </c>
      <c r="H32" s="90">
        <f t="shared" ca="1" si="6"/>
        <v>589.70008132127987</v>
      </c>
      <c r="I32" s="90">
        <f t="shared" ca="1" si="6"/>
        <v>773.32459316543998</v>
      </c>
      <c r="J32" s="90">
        <f t="shared" si="6"/>
        <v>957.52327321134715</v>
      </c>
      <c r="K32" s="90">
        <f t="shared" ca="1" si="6"/>
        <v>1159.1322039539793</v>
      </c>
      <c r="L32" s="90">
        <f t="shared" ca="1" si="6"/>
        <v>1371.1541572594858</v>
      </c>
      <c r="M32" s="90">
        <f t="shared" ca="1" si="6"/>
        <v>1584.0618413905484</v>
      </c>
      <c r="N32" s="90">
        <f t="shared" ca="1" si="6"/>
        <v>1786.2485295733402</v>
      </c>
      <c r="O32" s="90">
        <f t="shared" ca="1" si="6"/>
        <v>1964.873382530674</v>
      </c>
    </row>
    <row r="33" spans="2:15" x14ac:dyDescent="0.35">
      <c r="B33" s="88" t="s">
        <v>165</v>
      </c>
      <c r="C33" s="91">
        <f>Financials!F19</f>
        <v>0.2</v>
      </c>
      <c r="D33" s="91">
        <f>Financials!G19</f>
        <v>0.2</v>
      </c>
      <c r="E33" s="91">
        <f>Financials!H19</f>
        <v>0.2</v>
      </c>
      <c r="F33" s="91">
        <f>Financials!I19</f>
        <v>0.2</v>
      </c>
      <c r="G33" s="91">
        <f>Financials!J19</f>
        <v>0.2</v>
      </c>
      <c r="H33" s="91">
        <f>Financials!K19</f>
        <v>0.2</v>
      </c>
      <c r="I33" s="91">
        <f>Financials!L19</f>
        <v>0.2</v>
      </c>
      <c r="J33" s="91">
        <f>Financials!M19</f>
        <v>0.2</v>
      </c>
      <c r="K33" s="91">
        <f>Financials!N19</f>
        <v>0.2</v>
      </c>
      <c r="L33" s="91">
        <f>Financials!O19</f>
        <v>0.2</v>
      </c>
      <c r="M33" s="91">
        <f>Financials!P19</f>
        <v>0.2</v>
      </c>
      <c r="N33" s="91">
        <f>Financials!Q19</f>
        <v>0.2</v>
      </c>
      <c r="O33" s="91">
        <f>Financials!R19</f>
        <v>0.2</v>
      </c>
    </row>
    <row r="35" spans="2:15" x14ac:dyDescent="0.35">
      <c r="B35" s="86" t="s">
        <v>166</v>
      </c>
      <c r="C35" s="87">
        <f>C28-C32</f>
        <v>416.8</v>
      </c>
      <c r="D35" s="87">
        <f t="shared" ref="D35:O35" si="7">D28-D32</f>
        <v>313.60000000000002</v>
      </c>
      <c r="E35" s="87">
        <f t="shared" si="7"/>
        <v>616.79999999999984</v>
      </c>
      <c r="F35" s="87">
        <f t="shared" ca="1" si="7"/>
        <v>1096.4407380479993</v>
      </c>
      <c r="G35" s="87">
        <f t="shared" ca="1" si="7"/>
        <v>1681.7278254335993</v>
      </c>
      <c r="H35" s="87">
        <f t="shared" ca="1" si="7"/>
        <v>2358.8003252851195</v>
      </c>
      <c r="I35" s="87">
        <f t="shared" ca="1" si="7"/>
        <v>3093.2983726617595</v>
      </c>
      <c r="J35" s="87">
        <f t="shared" si="7"/>
        <v>3830.0930928453881</v>
      </c>
      <c r="K35" s="87">
        <f t="shared" ca="1" si="7"/>
        <v>4636.5288158159174</v>
      </c>
      <c r="L35" s="87">
        <f t="shared" ca="1" si="7"/>
        <v>5484.6166290379424</v>
      </c>
      <c r="M35" s="87">
        <f t="shared" ca="1" si="7"/>
        <v>6336.2473655621925</v>
      </c>
      <c r="N35" s="87">
        <f t="shared" ca="1" si="7"/>
        <v>7144.9941182933599</v>
      </c>
      <c r="O35" s="87">
        <f t="shared" ca="1" si="7"/>
        <v>7859.493530122696</v>
      </c>
    </row>
    <row r="36" spans="2:15" x14ac:dyDescent="0.35">
      <c r="B36" s="88" t="s">
        <v>136</v>
      </c>
      <c r="C36" s="89">
        <f>C35/C17</f>
        <v>0.40426770126091177</v>
      </c>
      <c r="D36" s="89">
        <f t="shared" ref="D36:O36" si="8">D35/D17</f>
        <v>0.17249724972497252</v>
      </c>
      <c r="E36" s="89">
        <f t="shared" si="8"/>
        <v>0.23153153153153147</v>
      </c>
      <c r="F36" s="89">
        <f t="shared" ca="1" si="8"/>
        <v>0.29378621041702097</v>
      </c>
      <c r="G36" s="89">
        <f t="shared" ca="1" si="8"/>
        <v>0.33378605251360388</v>
      </c>
      <c r="H36" s="89">
        <f t="shared" ca="1" si="8"/>
        <v>0.36013083016236896</v>
      </c>
      <c r="I36" s="89">
        <f t="shared" ca="1" si="8"/>
        <v>0.3778165023788288</v>
      </c>
      <c r="J36" s="89">
        <f t="shared" si="8"/>
        <v>0.38984071417994748</v>
      </c>
      <c r="K36" s="89">
        <f t="shared" ca="1" si="8"/>
        <v>0.39993445418655987</v>
      </c>
      <c r="L36" s="89">
        <f t="shared" ca="1" si="8"/>
        <v>0.40783467120594824</v>
      </c>
      <c r="M36" s="89">
        <f t="shared" ca="1" si="8"/>
        <v>0.4132997474343833</v>
      </c>
      <c r="N36" s="89">
        <f t="shared" ca="1" si="8"/>
        <v>0.41611835136505743</v>
      </c>
      <c r="O36" s="89">
        <f t="shared" ca="1" si="8"/>
        <v>0.41611835136505737</v>
      </c>
    </row>
    <row r="37" spans="2:15" x14ac:dyDescent="0.35">
      <c r="B37" s="88" t="s">
        <v>135</v>
      </c>
      <c r="C37" s="89">
        <f>IFERROR(C35/B35-1,0)</f>
        <v>0</v>
      </c>
      <c r="D37" s="89">
        <f t="shared" ref="D37:O37" si="9">IFERROR(D35/C35-1,0)</f>
        <v>-0.24760076775431861</v>
      </c>
      <c r="E37" s="89">
        <f t="shared" si="9"/>
        <v>0.96683673469387688</v>
      </c>
      <c r="F37" s="89">
        <f t="shared" ca="1" si="9"/>
        <v>0.7776276557198436</v>
      </c>
      <c r="G37" s="89">
        <f t="shared" ca="1" si="9"/>
        <v>0.5338064038258834</v>
      </c>
      <c r="H37" s="89">
        <f t="shared" ca="1" si="9"/>
        <v>0.40260527869719387</v>
      </c>
      <c r="I37" s="89">
        <f t="shared" ca="1" si="9"/>
        <v>0.3113862752617087</v>
      </c>
      <c r="J37" s="89">
        <f t="shared" ca="1" si="9"/>
        <v>0.23819064035184634</v>
      </c>
      <c r="K37" s="89">
        <f t="shared" ca="1" si="9"/>
        <v>0.21055251228147709</v>
      </c>
      <c r="L37" s="89">
        <f t="shared" ca="1" si="9"/>
        <v>0.18291438421110762</v>
      </c>
      <c r="M37" s="89">
        <f t="shared" ca="1" si="9"/>
        <v>0.15527625614073859</v>
      </c>
      <c r="N37" s="89">
        <f t="shared" ca="1" si="9"/>
        <v>0.12763812807036934</v>
      </c>
      <c r="O37" s="89">
        <f t="shared" ca="1" si="9"/>
        <v>0.10000000000000009</v>
      </c>
    </row>
    <row r="39" spans="2:15" x14ac:dyDescent="0.35">
      <c r="B39" s="86" t="s">
        <v>162</v>
      </c>
      <c r="C39" s="84" t="s">
        <v>65</v>
      </c>
      <c r="D39" s="84" t="s">
        <v>65</v>
      </c>
      <c r="E39" s="84" t="s">
        <v>65</v>
      </c>
      <c r="F39" s="90">
        <f>F24</f>
        <v>113</v>
      </c>
      <c r="G39" s="90">
        <f t="shared" ref="G39:O39" si="10">G24</f>
        <v>113</v>
      </c>
      <c r="H39" s="90">
        <f t="shared" si="10"/>
        <v>113</v>
      </c>
      <c r="I39" s="90">
        <f t="shared" si="10"/>
        <v>113</v>
      </c>
      <c r="J39" s="90">
        <f t="shared" si="10"/>
        <v>113</v>
      </c>
      <c r="K39" s="90">
        <f t="shared" si="10"/>
        <v>113</v>
      </c>
      <c r="L39" s="90">
        <f t="shared" si="10"/>
        <v>113</v>
      </c>
      <c r="M39" s="90">
        <f t="shared" si="10"/>
        <v>113</v>
      </c>
      <c r="N39" s="90">
        <f t="shared" si="10"/>
        <v>113</v>
      </c>
      <c r="O39" s="90">
        <f t="shared" si="10"/>
        <v>113</v>
      </c>
    </row>
    <row r="41" spans="2:15" x14ac:dyDescent="0.35">
      <c r="B41" s="86" t="s">
        <v>142</v>
      </c>
      <c r="C41" s="92">
        <f>Financials!F29</f>
        <v>-9</v>
      </c>
      <c r="D41" s="92">
        <f>Financials!G29</f>
        <v>-33</v>
      </c>
      <c r="E41" s="92">
        <f>Financials!H29</f>
        <v>-42</v>
      </c>
      <c r="F41" s="92">
        <f ca="1">Financials!I29</f>
        <v>-31.824770198166476</v>
      </c>
      <c r="G41" s="92">
        <f ca="1">Financials!J29</f>
        <v>-42.616367984027669</v>
      </c>
      <c r="H41" s="92">
        <f ca="1">Financials!K29</f>
        <v>-54.948169174523542</v>
      </c>
      <c r="I41" s="92">
        <f ca="1">Financials!L29</f>
        <v>-68.116430104556102</v>
      </c>
      <c r="J41" s="92">
        <f>Financials!M29</f>
        <v>-81.054304659899998</v>
      </c>
      <c r="K41" s="92">
        <f ca="1">Financials!N29</f>
        <v>-95.064418410811157</v>
      </c>
      <c r="L41" s="92">
        <f ca="1">Financials!O29</f>
        <v>-109.6023184946108</v>
      </c>
      <c r="M41" s="92">
        <f ca="1">Financials!P29</f>
        <v>-124.18009926125599</v>
      </c>
      <c r="N41" s="92">
        <f ca="1">Financials!Q29</f>
        <v>-138.22318209129435</v>
      </c>
      <c r="O41" s="92">
        <f ca="1">Financials!R29</f>
        <v>-151.10111831098021</v>
      </c>
    </row>
    <row r="42" spans="2:15" x14ac:dyDescent="0.35">
      <c r="B42" s="88" t="s">
        <v>143</v>
      </c>
      <c r="C42" s="89">
        <f>C41/C17</f>
        <v>-8.7293889427740058E-3</v>
      </c>
      <c r="D42" s="89">
        <f t="shared" ref="D42:O42" si="11">D41/D17</f>
        <v>-1.8151815181518153E-2</v>
      </c>
      <c r="E42" s="89">
        <f t="shared" si="11"/>
        <v>-1.5765765765765764E-2</v>
      </c>
      <c r="F42" s="89">
        <f t="shared" ca="1" si="11"/>
        <v>-8.5272995698401077E-3</v>
      </c>
      <c r="G42" s="89">
        <f t="shared" ca="1" si="11"/>
        <v>-8.4584134404674938E-3</v>
      </c>
      <c r="H42" s="89">
        <f t="shared" ca="1" si="11"/>
        <v>-8.3892348023699385E-3</v>
      </c>
      <c r="I42" s="89">
        <f t="shared" ca="1" si="11"/>
        <v>-8.3197636555474401E-3</v>
      </c>
      <c r="J42" s="89">
        <f t="shared" si="11"/>
        <v>-8.2500000000000021E-3</v>
      </c>
      <c r="K42" s="89">
        <f t="shared" ca="1" si="11"/>
        <v>-8.199999999999999E-3</v>
      </c>
      <c r="L42" s="89">
        <f t="shared" ca="1" si="11"/>
        <v>-8.1499999999999975E-3</v>
      </c>
      <c r="M42" s="89">
        <f t="shared" ca="1" si="11"/>
        <v>-8.0999999999999978E-3</v>
      </c>
      <c r="N42" s="89">
        <f t="shared" ca="1" si="11"/>
        <v>-8.0499999999999981E-3</v>
      </c>
      <c r="O42" s="89">
        <f t="shared" ca="1" si="11"/>
        <v>-8.0000000000000002E-3</v>
      </c>
    </row>
    <row r="43" spans="2:15" x14ac:dyDescent="0.35">
      <c r="B43" s="88" t="s">
        <v>167</v>
      </c>
      <c r="C43" s="89">
        <f>C41/C24</f>
        <v>-7.9646017699115043E-2</v>
      </c>
      <c r="D43" s="89">
        <f t="shared" ref="D43:O43" si="12">D41/D24</f>
        <v>-0.29203539823008851</v>
      </c>
      <c r="E43" s="89">
        <f t="shared" si="12"/>
        <v>-0.37168141592920356</v>
      </c>
      <c r="F43" s="89">
        <f t="shared" ca="1" si="12"/>
        <v>-0.28163513449704847</v>
      </c>
      <c r="G43" s="89">
        <f t="shared" ca="1" si="12"/>
        <v>-0.37713599985865193</v>
      </c>
      <c r="H43" s="89">
        <f t="shared" ca="1" si="12"/>
        <v>-0.48626698384534106</v>
      </c>
      <c r="I43" s="89">
        <f t="shared" ca="1" si="12"/>
        <v>-0.60280026641200091</v>
      </c>
      <c r="J43" s="89">
        <f t="shared" si="12"/>
        <v>-0.71729473150353984</v>
      </c>
      <c r="K43" s="89">
        <f t="shared" ca="1" si="12"/>
        <v>-0.84127803903372711</v>
      </c>
      <c r="L43" s="89">
        <f t="shared" ca="1" si="12"/>
        <v>-0.96993202207620177</v>
      </c>
      <c r="M43" s="89">
        <f t="shared" ca="1" si="12"/>
        <v>-1.0989389315155398</v>
      </c>
      <c r="N43" s="89">
        <f t="shared" ca="1" si="12"/>
        <v>-1.2232140008079146</v>
      </c>
      <c r="O43" s="89">
        <f t="shared" ca="1" si="12"/>
        <v>-1.3371780381502674</v>
      </c>
    </row>
    <row r="44" spans="2:15" x14ac:dyDescent="0.35">
      <c r="B44" s="93"/>
    </row>
    <row r="45" spans="2:15" x14ac:dyDescent="0.35">
      <c r="B45" s="86" t="s">
        <v>168</v>
      </c>
      <c r="C45" s="92">
        <f>Financials!F33</f>
        <v>36</v>
      </c>
      <c r="D45" s="92">
        <f>Financials!G33</f>
        <v>-81</v>
      </c>
      <c r="E45" s="92">
        <f>Financials!H33</f>
        <v>306</v>
      </c>
      <c r="F45" s="92">
        <f>Financials!I33</f>
        <v>18.6605208</v>
      </c>
      <c r="G45" s="92">
        <f>Financials!J33</f>
        <v>50.383406159999993</v>
      </c>
      <c r="H45" s="92">
        <f>Financials!K33</f>
        <v>98.247642011999986</v>
      </c>
      <c r="I45" s="92">
        <f>Financials!L33</f>
        <v>163.74607001999996</v>
      </c>
      <c r="J45" s="92">
        <f>Financials!M33</f>
        <v>245.61910502999996</v>
      </c>
      <c r="K45" s="92">
        <f ca="1">Financials!N33</f>
        <v>348.77912914259997</v>
      </c>
      <c r="L45" s="92">
        <f ca="1">Financials!O33</f>
        <v>467.36403305108399</v>
      </c>
      <c r="M45" s="92">
        <f ca="1">Financials!P33</f>
        <v>588.87868164436588</v>
      </c>
      <c r="N45" s="92">
        <f ca="1">Financials!Q33</f>
        <v>694.87684434035179</v>
      </c>
      <c r="O45" s="92">
        <f ca="1">Financials!R33</f>
        <v>764.36452877438694</v>
      </c>
    </row>
    <row r="46" spans="2:15" x14ac:dyDescent="0.35">
      <c r="B46" s="88" t="s">
        <v>143</v>
      </c>
      <c r="C46" s="89">
        <f>C45/C17</f>
        <v>3.4917555771096023E-2</v>
      </c>
      <c r="D46" s="89">
        <f t="shared" ref="D46:O46" si="13">D45/D17</f>
        <v>-4.4554455445544552E-2</v>
      </c>
      <c r="E46" s="89">
        <f t="shared" si="13"/>
        <v>0.11486486486486487</v>
      </c>
      <c r="F46" s="89">
        <f t="shared" si="13"/>
        <v>5.0000000000000001E-3</v>
      </c>
      <c r="G46" s="89">
        <f t="shared" si="13"/>
        <v>0.01</v>
      </c>
      <c r="H46" s="89">
        <f t="shared" si="13"/>
        <v>1.4999999999999999E-2</v>
      </c>
      <c r="I46" s="89">
        <f t="shared" si="13"/>
        <v>0.02</v>
      </c>
      <c r="J46" s="89">
        <f t="shared" si="13"/>
        <v>2.5000000000000001E-2</v>
      </c>
      <c r="K46" s="89">
        <f t="shared" ca="1" si="13"/>
        <v>3.0084745762711869E-2</v>
      </c>
      <c r="L46" s="89">
        <f t="shared" ca="1" si="13"/>
        <v>3.4753068381063713E-2</v>
      </c>
      <c r="M46" s="89">
        <f t="shared" ca="1" si="13"/>
        <v>3.841128610538621E-2</v>
      </c>
      <c r="N46" s="89">
        <f t="shared" ca="1" si="13"/>
        <v>4.0469033575317608E-2</v>
      </c>
      <c r="O46" s="89">
        <f t="shared" ca="1" si="13"/>
        <v>4.0469033575317601E-2</v>
      </c>
    </row>
    <row r="47" spans="2:15" x14ac:dyDescent="0.35">
      <c r="B47" s="93"/>
    </row>
    <row r="48" spans="2:15" x14ac:dyDescent="0.35">
      <c r="B48" s="94" t="s">
        <v>169</v>
      </c>
      <c r="C48" s="90">
        <f>C28+C24+C41+C45</f>
        <v>661</v>
      </c>
      <c r="D48" s="90">
        <f t="shared" ref="D48:O48" si="14">D28+D24+D41+D45</f>
        <v>391</v>
      </c>
      <c r="E48" s="90">
        <f t="shared" si="14"/>
        <v>1147.9999999999998</v>
      </c>
      <c r="F48" s="90">
        <f t="shared" ca="1" si="14"/>
        <v>1470.3866731618327</v>
      </c>
      <c r="G48" s="90">
        <f t="shared" ca="1" si="14"/>
        <v>2222.9268199679714</v>
      </c>
      <c r="H48" s="90">
        <f t="shared" ca="1" si="14"/>
        <v>3104.7998794438759</v>
      </c>
      <c r="I48" s="90">
        <f t="shared" ca="1" si="14"/>
        <v>4075.2526057426435</v>
      </c>
      <c r="J48" s="90">
        <f t="shared" si="14"/>
        <v>5065.1811664268362</v>
      </c>
      <c r="K48" s="90">
        <f t="shared" ca="1" si="14"/>
        <v>6162.3757305016852</v>
      </c>
      <c r="L48" s="90">
        <f t="shared" ca="1" si="14"/>
        <v>7326.5325008539021</v>
      </c>
      <c r="M48" s="90">
        <f t="shared" ca="1" si="14"/>
        <v>8498.0077893358502</v>
      </c>
      <c r="N48" s="90">
        <f t="shared" ca="1" si="14"/>
        <v>9600.8963101157569</v>
      </c>
      <c r="O48" s="90">
        <f t="shared" ca="1" si="14"/>
        <v>10550.630323116777</v>
      </c>
    </row>
    <row r="49" spans="2:18" x14ac:dyDescent="0.35">
      <c r="B49" s="95" t="s">
        <v>158</v>
      </c>
      <c r="C49" s="80"/>
      <c r="D49" s="80"/>
      <c r="E49" s="80"/>
      <c r="F49" s="96">
        <f ca="1">-F13*F48</f>
        <v>-1470.3866731618327</v>
      </c>
      <c r="G49" s="96">
        <f t="shared" ref="G49:O49" ca="1" si="15">-G13*G48</f>
        <v>0</v>
      </c>
      <c r="H49" s="96">
        <f t="shared" ca="1" si="15"/>
        <v>0</v>
      </c>
      <c r="I49" s="96">
        <f t="shared" ca="1" si="15"/>
        <v>0</v>
      </c>
      <c r="J49" s="96">
        <f t="shared" si="15"/>
        <v>0</v>
      </c>
      <c r="K49" s="96">
        <f t="shared" ca="1" si="15"/>
        <v>0</v>
      </c>
      <c r="L49" s="96">
        <f t="shared" ca="1" si="15"/>
        <v>0</v>
      </c>
      <c r="M49" s="96">
        <f t="shared" ca="1" si="15"/>
        <v>0</v>
      </c>
      <c r="N49" s="96">
        <f t="shared" ca="1" si="15"/>
        <v>0</v>
      </c>
      <c r="O49" s="96">
        <f t="shared" ca="1" si="15"/>
        <v>0</v>
      </c>
    </row>
    <row r="50" spans="2:18" x14ac:dyDescent="0.35">
      <c r="B50" s="94" t="s">
        <v>170</v>
      </c>
      <c r="C50" s="97"/>
      <c r="D50" s="97"/>
      <c r="E50" s="97"/>
      <c r="F50" s="98">
        <f ca="1">F48+F49</f>
        <v>0</v>
      </c>
      <c r="G50" s="87">
        <f t="shared" ref="G50:O50" ca="1" si="16">G48+G49</f>
        <v>2222.9268199679714</v>
      </c>
      <c r="H50" s="87">
        <f t="shared" ca="1" si="16"/>
        <v>3104.7998794438759</v>
      </c>
      <c r="I50" s="87">
        <f t="shared" ca="1" si="16"/>
        <v>4075.2526057426435</v>
      </c>
      <c r="J50" s="87">
        <f t="shared" si="16"/>
        <v>5065.1811664268362</v>
      </c>
      <c r="K50" s="87">
        <f t="shared" ca="1" si="16"/>
        <v>6162.3757305016852</v>
      </c>
      <c r="L50" s="87">
        <f t="shared" ca="1" si="16"/>
        <v>7326.5325008539021</v>
      </c>
      <c r="M50" s="87">
        <f t="shared" ca="1" si="16"/>
        <v>8498.0077893358502</v>
      </c>
      <c r="N50" s="87">
        <f t="shared" ca="1" si="16"/>
        <v>9600.8963101157569</v>
      </c>
      <c r="O50" s="87">
        <f t="shared" ca="1" si="16"/>
        <v>10550.630323116777</v>
      </c>
    </row>
    <row r="51" spans="2:18" x14ac:dyDescent="0.35">
      <c r="B51" s="99" t="s">
        <v>171</v>
      </c>
      <c r="C51" s="80"/>
      <c r="D51" s="80"/>
      <c r="E51" s="80"/>
      <c r="F51" s="96">
        <v>0</v>
      </c>
      <c r="G51" s="96">
        <f>F51+365</f>
        <v>365</v>
      </c>
      <c r="H51" s="96">
        <f t="shared" ref="H51:O51" si="17">G51+365</f>
        <v>730</v>
      </c>
      <c r="I51" s="96">
        <f t="shared" si="17"/>
        <v>1095</v>
      </c>
      <c r="J51" s="96">
        <f t="shared" si="17"/>
        <v>1460</v>
      </c>
      <c r="K51" s="96">
        <f t="shared" si="17"/>
        <v>1825</v>
      </c>
      <c r="L51" s="96">
        <f t="shared" si="17"/>
        <v>2190</v>
      </c>
      <c r="M51" s="96">
        <f t="shared" si="17"/>
        <v>2555</v>
      </c>
      <c r="N51" s="96">
        <f t="shared" si="17"/>
        <v>2920</v>
      </c>
      <c r="O51" s="96">
        <f t="shared" si="17"/>
        <v>3285</v>
      </c>
    </row>
    <row r="52" spans="2:18" x14ac:dyDescent="0.35">
      <c r="B52" s="99" t="s">
        <v>172</v>
      </c>
      <c r="C52" s="80"/>
      <c r="D52" s="80"/>
      <c r="E52" s="80"/>
      <c r="F52" s="96">
        <f>1/((1+$D$9))^(F51/365)</f>
        <v>1</v>
      </c>
      <c r="G52" s="96">
        <f t="shared" ref="G52:O52" si="18">1/((1+$D$9))^(G51/365)</f>
        <v>0.94339622641509424</v>
      </c>
      <c r="H52" s="96">
        <f t="shared" si="18"/>
        <v>0.88999644001423983</v>
      </c>
      <c r="I52" s="96">
        <f t="shared" si="18"/>
        <v>0.8396192830323016</v>
      </c>
      <c r="J52" s="96">
        <f t="shared" si="18"/>
        <v>0.79209366323802044</v>
      </c>
      <c r="K52" s="96">
        <f t="shared" si="18"/>
        <v>0.74725817286605689</v>
      </c>
      <c r="L52" s="96">
        <f t="shared" si="18"/>
        <v>0.70496054043967626</v>
      </c>
      <c r="M52" s="96">
        <f t="shared" si="18"/>
        <v>0.66505711362233599</v>
      </c>
      <c r="N52" s="96">
        <f t="shared" si="18"/>
        <v>0.62741237134182648</v>
      </c>
      <c r="O52" s="96">
        <f t="shared" si="18"/>
        <v>0.59189846353002495</v>
      </c>
    </row>
    <row r="54" spans="2:18" x14ac:dyDescent="0.35">
      <c r="B54" s="187" t="s">
        <v>173</v>
      </c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9"/>
    </row>
    <row r="55" spans="2:18" x14ac:dyDescent="0.35">
      <c r="B55" s="187" t="s">
        <v>190</v>
      </c>
      <c r="C55" s="188"/>
      <c r="D55" s="105">
        <f ca="1">O20*D8</f>
        <v>117892.40295184046</v>
      </c>
      <c r="E55" s="41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18" x14ac:dyDescent="0.35">
      <c r="B56" s="203" t="s">
        <v>189</v>
      </c>
      <c r="C56" s="203"/>
      <c r="D56" s="101">
        <f ca="1">O50*(1-D7)/(D9-D7)</f>
        <v>208902.48039771218</v>
      </c>
      <c r="E56"/>
      <c r="J56"/>
      <c r="K56"/>
      <c r="L56"/>
      <c r="M56"/>
      <c r="N56"/>
      <c r="O56"/>
      <c r="P56"/>
      <c r="Q56"/>
      <c r="R56"/>
    </row>
    <row r="57" spans="2:18" customFormat="1" ht="14.4" x14ac:dyDescent="0.3"/>
    <row r="58" spans="2:18" x14ac:dyDescent="0.35">
      <c r="B58" s="202" t="s">
        <v>174</v>
      </c>
      <c r="C58" s="202"/>
      <c r="D58" s="202"/>
      <c r="E58" s="202"/>
      <c r="F58" s="202"/>
      <c r="I58" s="202" t="s">
        <v>175</v>
      </c>
      <c r="J58" s="202"/>
      <c r="K58" s="202"/>
      <c r="L58" s="202"/>
      <c r="M58" s="202"/>
      <c r="N58" s="202"/>
      <c r="O58" s="202"/>
    </row>
    <row r="59" spans="2:18" x14ac:dyDescent="0.35">
      <c r="B59" s="211" t="s">
        <v>176</v>
      </c>
      <c r="C59" s="211"/>
      <c r="D59" s="211" t="s">
        <v>177</v>
      </c>
      <c r="E59" s="211"/>
      <c r="F59" s="100" t="s">
        <v>178</v>
      </c>
      <c r="I59" s="211" t="s">
        <v>176</v>
      </c>
      <c r="J59" s="211"/>
      <c r="K59" s="211"/>
      <c r="L59" s="211"/>
      <c r="M59" s="211" t="s">
        <v>177</v>
      </c>
      <c r="N59" s="211"/>
      <c r="O59" s="100" t="s">
        <v>178</v>
      </c>
    </row>
    <row r="60" spans="2:18" x14ac:dyDescent="0.35">
      <c r="B60" s="205" t="s">
        <v>179</v>
      </c>
      <c r="C60" s="206"/>
      <c r="D60" s="214">
        <f ca="1">SUMPRODUCT($F$50:$P$50,$F$52:$P$52)</f>
        <v>39984.205659923107</v>
      </c>
      <c r="E60" s="214"/>
      <c r="F60" s="103">
        <f ca="1">D60/$D$62</f>
        <v>0.24435255379742635</v>
      </c>
      <c r="I60" s="204" t="s">
        <v>179</v>
      </c>
      <c r="J60" s="204"/>
      <c r="K60" s="204"/>
      <c r="L60" s="204"/>
      <c r="M60" s="222">
        <f ca="1">SUMPRODUCT($F$50:$P$50,F52:P52)</f>
        <v>39984.205659923107</v>
      </c>
      <c r="N60" s="222"/>
      <c r="O60" s="103">
        <f ca="1">M60/M62</f>
        <v>0.35088836540626289</v>
      </c>
    </row>
    <row r="61" spans="2:18" x14ac:dyDescent="0.35">
      <c r="B61" s="205" t="s">
        <v>180</v>
      </c>
      <c r="C61" s="206"/>
      <c r="D61" s="215">
        <f ca="1">D56*O52</f>
        <v>123649.05717501699</v>
      </c>
      <c r="E61" s="204"/>
      <c r="F61" s="103">
        <f ca="1">D61/$D$62</f>
        <v>0.75564744620257362</v>
      </c>
      <c r="I61" s="204" t="s">
        <v>180</v>
      </c>
      <c r="J61" s="204"/>
      <c r="K61" s="204"/>
      <c r="L61" s="204"/>
      <c r="M61" s="215">
        <f ca="1">D55*N52</f>
        <v>73967.152099200364</v>
      </c>
      <c r="N61" s="204"/>
      <c r="O61" s="103">
        <f ca="1">M61/M62</f>
        <v>0.64911163459373711</v>
      </c>
    </row>
    <row r="62" spans="2:18" x14ac:dyDescent="0.35">
      <c r="B62" s="212" t="s">
        <v>181</v>
      </c>
      <c r="C62" s="213"/>
      <c r="D62" s="216">
        <f ca="1">SUM(D60,D61)</f>
        <v>163633.26283494011</v>
      </c>
      <c r="E62" s="217"/>
      <c r="F62" s="102">
        <f ca="1">SUM(F60,F61)</f>
        <v>1</v>
      </c>
      <c r="I62" s="224" t="s">
        <v>181</v>
      </c>
      <c r="J62" s="224"/>
      <c r="K62" s="224"/>
      <c r="L62" s="224"/>
      <c r="M62" s="223">
        <f ca="1">SUM(M60,M61)</f>
        <v>113951.35775912346</v>
      </c>
      <c r="N62" s="223"/>
      <c r="O62" s="106">
        <f ca="1">SUM(O60,O61)</f>
        <v>1</v>
      </c>
    </row>
    <row r="63" spans="2:18" x14ac:dyDescent="0.35">
      <c r="B63" s="205" t="s">
        <v>182</v>
      </c>
      <c r="C63" s="206"/>
      <c r="D63" s="215">
        <f>-'Assumptions '!D11</f>
        <v>-664</v>
      </c>
      <c r="E63" s="204"/>
      <c r="F63" s="80"/>
      <c r="I63" s="204" t="s">
        <v>182</v>
      </c>
      <c r="J63" s="204"/>
      <c r="K63" s="204"/>
      <c r="L63" s="204"/>
      <c r="M63" s="215">
        <f>D63</f>
        <v>-664</v>
      </c>
      <c r="N63" s="204"/>
      <c r="O63" s="80"/>
    </row>
    <row r="64" spans="2:18" x14ac:dyDescent="0.35">
      <c r="B64" s="212" t="s">
        <v>183</v>
      </c>
      <c r="C64" s="213"/>
      <c r="D64" s="216">
        <f ca="1">SUM(D62,D63)</f>
        <v>162969.26283494011</v>
      </c>
      <c r="E64" s="217"/>
      <c r="F64" s="80"/>
      <c r="I64" s="224" t="s">
        <v>183</v>
      </c>
      <c r="J64" s="224"/>
      <c r="K64" s="224"/>
      <c r="L64" s="224"/>
      <c r="M64" s="216">
        <f ca="1">M62+M63</f>
        <v>113287.35775912346</v>
      </c>
      <c r="N64" s="217"/>
      <c r="O64" s="80"/>
    </row>
    <row r="65" spans="2:18" x14ac:dyDescent="0.35">
      <c r="B65" s="205" t="s">
        <v>184</v>
      </c>
      <c r="C65" s="206"/>
      <c r="D65" s="215">
        <f>'Rough NOTES'!H7/'Rough NOTES'!H6</f>
        <v>946.94514816966876</v>
      </c>
      <c r="E65" s="204"/>
      <c r="F65" s="80"/>
      <c r="I65" s="204" t="s">
        <v>184</v>
      </c>
      <c r="J65" s="204"/>
      <c r="K65" s="204"/>
      <c r="L65" s="204"/>
      <c r="M65" s="215">
        <f>'Rough NOTES'!I7/'Rough NOTES'!H6</f>
        <v>658.26472980825099</v>
      </c>
      <c r="N65" s="204"/>
      <c r="O65" s="80"/>
    </row>
    <row r="66" spans="2:18" x14ac:dyDescent="0.35">
      <c r="B66" s="219" t="s">
        <v>185</v>
      </c>
      <c r="C66" s="220"/>
      <c r="D66" s="221">
        <f>D65/'Assumptions '!$D$8-1</f>
        <v>-0.37823693488531274</v>
      </c>
      <c r="E66" s="221"/>
      <c r="F66" s="107"/>
      <c r="I66" s="218" t="s">
        <v>185</v>
      </c>
      <c r="J66" s="218"/>
      <c r="K66" s="218"/>
      <c r="L66" s="218"/>
      <c r="M66" s="221">
        <f>M65/'Assumptions '!$D$8-1</f>
        <v>-0.56778415639642088</v>
      </c>
      <c r="N66" s="221"/>
      <c r="O66" s="80"/>
    </row>
    <row r="68" spans="2:18" x14ac:dyDescent="0.35">
      <c r="B68" s="187" t="s">
        <v>193</v>
      </c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9"/>
    </row>
    <row r="70" spans="2:18" x14ac:dyDescent="0.35">
      <c r="B70" s="205" t="s">
        <v>154</v>
      </c>
      <c r="C70" s="206"/>
      <c r="D70" s="108">
        <f>D7</f>
        <v>0.01</v>
      </c>
    </row>
    <row r="71" spans="2:18" x14ac:dyDescent="0.35">
      <c r="B71" s="205" t="s">
        <v>194</v>
      </c>
      <c r="C71" s="206"/>
      <c r="D71" s="109">
        <v>2.5000000000000001E-3</v>
      </c>
    </row>
    <row r="72" spans="2:18" x14ac:dyDescent="0.35">
      <c r="B72" s="204" t="s">
        <v>14</v>
      </c>
      <c r="C72" s="204"/>
      <c r="D72" s="108">
        <f>D9</f>
        <v>0.06</v>
      </c>
    </row>
    <row r="73" spans="2:18" x14ac:dyDescent="0.35">
      <c r="B73" s="204" t="s">
        <v>195</v>
      </c>
      <c r="C73" s="204"/>
      <c r="D73" s="109">
        <v>5.0000000000000001E-3</v>
      </c>
    </row>
    <row r="74" spans="2:18" x14ac:dyDescent="0.35">
      <c r="B74" s="204" t="s">
        <v>196</v>
      </c>
      <c r="C74" s="204"/>
      <c r="D74" s="110">
        <f>D8</f>
        <v>12</v>
      </c>
    </row>
    <row r="75" spans="2:18" x14ac:dyDescent="0.35">
      <c r="B75" s="204" t="s">
        <v>197</v>
      </c>
      <c r="C75" s="204"/>
      <c r="D75" s="111">
        <v>0.5</v>
      </c>
      <c r="E75"/>
    </row>
    <row r="77" spans="2:18" x14ac:dyDescent="0.35">
      <c r="B77" s="187" t="s">
        <v>198</v>
      </c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9"/>
    </row>
    <row r="79" spans="2:18" x14ac:dyDescent="0.35">
      <c r="B79" s="190" t="s">
        <v>203</v>
      </c>
      <c r="C79" s="190"/>
      <c r="D79" s="190"/>
      <c r="E79" s="190"/>
      <c r="F79" s="190"/>
      <c r="G79" s="190"/>
      <c r="I79" s="190" t="s">
        <v>202</v>
      </c>
      <c r="J79" s="190"/>
      <c r="K79" s="190"/>
      <c r="L79" s="190"/>
      <c r="M79" s="190"/>
      <c r="N79" s="190"/>
    </row>
    <row r="80" spans="2:18" x14ac:dyDescent="0.35">
      <c r="B80" s="112" t="s">
        <v>199</v>
      </c>
      <c r="C80" s="191" t="s">
        <v>200</v>
      </c>
      <c r="D80" s="192"/>
      <c r="E80" s="192"/>
      <c r="F80" s="192"/>
      <c r="G80" s="193"/>
      <c r="I80" s="112" t="s">
        <v>199</v>
      </c>
      <c r="J80" s="191" t="s">
        <v>200</v>
      </c>
      <c r="K80" s="192"/>
      <c r="L80" s="192"/>
      <c r="M80" s="192"/>
      <c r="N80" s="193"/>
    </row>
    <row r="81" spans="2:18" x14ac:dyDescent="0.35">
      <c r="B81" s="97"/>
      <c r="C81" s="109">
        <f>D81-$D$71</f>
        <v>4.9999999999999992E-3</v>
      </c>
      <c r="D81" s="109">
        <f>E81-$D$71</f>
        <v>7.4999999999999997E-3</v>
      </c>
      <c r="E81" s="115">
        <f>D70</f>
        <v>0.01</v>
      </c>
      <c r="F81" s="109">
        <f>E81+$D$71</f>
        <v>1.2500000000000001E-2</v>
      </c>
      <c r="G81" s="109">
        <f>F81+$D$71</f>
        <v>1.5000000000000001E-2</v>
      </c>
      <c r="I81" s="97"/>
      <c r="J81" s="109">
        <f>K81-$D$71</f>
        <v>4.9999999999999992E-3</v>
      </c>
      <c r="K81" s="109">
        <f>L81-$D$71</f>
        <v>7.4999999999999997E-3</v>
      </c>
      <c r="L81" s="115">
        <v>0.01</v>
      </c>
      <c r="M81" s="109">
        <f>L81+$D$71</f>
        <v>1.2500000000000001E-2</v>
      </c>
      <c r="N81" s="109">
        <f>M81+$D$71</f>
        <v>1.5000000000000001E-2</v>
      </c>
    </row>
    <row r="82" spans="2:18" x14ac:dyDescent="0.35">
      <c r="B82" s="113">
        <f>B83-$D$73</f>
        <v>0.05</v>
      </c>
      <c r="C82" s="107">
        <f ca="1">($K$20*$D$74)/($B$82-C81)</f>
        <v>1545509.6052719723</v>
      </c>
      <c r="D82" s="107">
        <f ca="1">($K$20*$D$74)/($B$82-D81)</f>
        <v>1636421.9349938529</v>
      </c>
      <c r="E82" s="107">
        <f t="shared" ref="E82:E83" ca="1" si="19">($K$20*$D$74)/(B82-$E$81)</f>
        <v>1738698.3059309688</v>
      </c>
      <c r="F82" s="107">
        <f ca="1">($K$20*$D$74)/($B$82-F81)</f>
        <v>1854611.5263263665</v>
      </c>
      <c r="G82" s="107">
        <f ca="1">($K$20*$D$74)/($B$82-G81)</f>
        <v>1987083.7782068213</v>
      </c>
      <c r="I82" s="113">
        <f>I83-$D$73</f>
        <v>0.05</v>
      </c>
      <c r="J82" s="107">
        <f ca="1">C82-('Assumptions '!$D$11)/'Assumptions '!$D$9*100</f>
        <v>1541652.2894824985</v>
      </c>
      <c r="K82" s="107">
        <f ca="1">D82-('Assumptions '!$D$11)/'Assumptions '!$D$9*100</f>
        <v>1632564.6192043792</v>
      </c>
      <c r="L82" s="107">
        <f ca="1">E82-('Assumptions '!$D$11)/'Assumptions '!$D$9*100</f>
        <v>1734840.9901414951</v>
      </c>
      <c r="M82" s="107">
        <f ca="1">F82-('Assumptions '!$D$11)/'Assumptions '!$D$9*100</f>
        <v>1850754.2105368928</v>
      </c>
      <c r="N82" s="107">
        <f ca="1">G82-('Assumptions '!$D$11)/'Assumptions '!$D$9*100</f>
        <v>1983226.4624173476</v>
      </c>
    </row>
    <row r="83" spans="2:18" x14ac:dyDescent="0.35">
      <c r="B83" s="113">
        <f>B84-$D$73</f>
        <v>5.5E-2</v>
      </c>
      <c r="C83" s="107">
        <f ca="1">($K$20*$D$74)/($B$83-C81)</f>
        <v>1390958.644744775</v>
      </c>
      <c r="D83" s="107">
        <f ca="1">($K$20*$D$74)/($B$83-D81)</f>
        <v>1464166.9944681842</v>
      </c>
      <c r="E83" s="107">
        <f t="shared" ca="1" si="19"/>
        <v>1545509.6052719725</v>
      </c>
      <c r="F83" s="107">
        <f ca="1">($K$20*$D$74)/($B$83-F81)</f>
        <v>1636421.9349938531</v>
      </c>
      <c r="G83" s="107">
        <f ca="1">($K$20*$D$74)/($B$83-G81)</f>
        <v>1738698.3059309688</v>
      </c>
      <c r="I83" s="113">
        <f>I84-$D$73</f>
        <v>5.5E-2</v>
      </c>
      <c r="J83" s="107">
        <f ca="1">C83-('Assumptions '!$D$11)/'Assumptions '!$D$9*100</f>
        <v>1387101.3289553013</v>
      </c>
      <c r="K83" s="107">
        <f ca="1">D83-('Assumptions '!$D$11)/'Assumptions '!$D$9*100</f>
        <v>1460309.6786787105</v>
      </c>
      <c r="L83" s="107">
        <f ca="1">E83-('Assumptions '!$D$11)/'Assumptions '!$D$9*100</f>
        <v>1541652.2894824988</v>
      </c>
      <c r="M83" s="107">
        <f ca="1">F83-('Assumptions '!$D$11)/'Assumptions '!$D$9*100</f>
        <v>1632564.6192043794</v>
      </c>
      <c r="N83" s="107">
        <f ca="1">G83-('Assumptions '!$D$11)/'Assumptions '!$D$9*100</f>
        <v>1734840.9901414951</v>
      </c>
    </row>
    <row r="84" spans="2:18" x14ac:dyDescent="0.35">
      <c r="B84" s="114">
        <f>$D$72</f>
        <v>0.06</v>
      </c>
      <c r="C84" s="119">
        <f ca="1">($K$20*$D$74)/($B$84-C81)</f>
        <v>1264507.8588588864</v>
      </c>
      <c r="D84" s="119">
        <f ca="1">($K$20*$D$74)/($B$84-D81)</f>
        <v>1324722.5188045478</v>
      </c>
      <c r="E84" s="120">
        <f ca="1">($K$20*$D$74)/(B84-$E$81)</f>
        <v>1390958.6447447753</v>
      </c>
      <c r="F84" s="119">
        <f ca="1">($K$20*$D$74)/($B$84-F81)</f>
        <v>1464166.9944681842</v>
      </c>
      <c r="G84" s="119">
        <f ca="1">($K$20*$D$74)/($B$84-G81)</f>
        <v>1545509.6052719725</v>
      </c>
      <c r="I84" s="114">
        <f>$D$72</f>
        <v>0.06</v>
      </c>
      <c r="J84" s="107">
        <f ca="1">C84-('Assumptions '!$D$11)/'Assumptions '!$D$9*100</f>
        <v>1260650.5430694127</v>
      </c>
      <c r="K84" s="107">
        <f ca="1">D84-('Assumptions '!$D$11)/'Assumptions '!$D$9*100</f>
        <v>1320865.2030150741</v>
      </c>
      <c r="L84" s="120">
        <f ca="1">E84-('Assumptions '!$D$11)/'Assumptions '!$D$9*100</f>
        <v>1387101.3289553015</v>
      </c>
      <c r="M84" s="107">
        <f ca="1">F84-('Assumptions '!$D$11)/'Assumptions '!$D$9*100</f>
        <v>1460309.6786787105</v>
      </c>
      <c r="N84" s="107">
        <f ca="1">G84-('Assumptions '!$D$11)/'Assumptions '!$D$9*100</f>
        <v>1541652.2894824988</v>
      </c>
    </row>
    <row r="85" spans="2:18" x14ac:dyDescent="0.35">
      <c r="B85" s="113">
        <f>B84+$D$73</f>
        <v>6.5000000000000002E-2</v>
      </c>
      <c r="C85" s="107">
        <f ca="1">($K$20*$D$74)/($B$85-C81)</f>
        <v>1159132.2039539791</v>
      </c>
      <c r="D85" s="107">
        <f ca="1">($K$20*$D$74)/($B$85-D81)</f>
        <v>1209529.2562998044</v>
      </c>
      <c r="E85" s="107">
        <f t="shared" ref="E85:E86" ca="1" si="20">($K$20*$D$74)/(B85-$E$81)</f>
        <v>1264507.8588588864</v>
      </c>
      <c r="F85" s="107">
        <f ca="1">($K$20*$D$74)/($B$85-F81)</f>
        <v>1324722.5188045476</v>
      </c>
      <c r="G85" s="107">
        <f ca="1">($K$20*$D$74)/($B$85-G81)</f>
        <v>1390958.644744775</v>
      </c>
      <c r="I85" s="113">
        <f>I84+$D$73</f>
        <v>6.5000000000000002E-2</v>
      </c>
      <c r="J85" s="107">
        <f ca="1">C85-('Assumptions '!$D$11)/'Assumptions '!$D$9*100</f>
        <v>1155274.8881645054</v>
      </c>
      <c r="K85" s="107">
        <f ca="1">D85-('Assumptions '!$D$11)/'Assumptions '!$D$9*100</f>
        <v>1205671.9405103307</v>
      </c>
      <c r="L85" s="107">
        <f ca="1">E85-('Assumptions '!$D$11)/'Assumptions '!$D$9*100</f>
        <v>1260650.5430694127</v>
      </c>
      <c r="M85" s="107">
        <f ca="1">F85-('Assumptions '!$D$11)/'Assumptions '!$D$9*100</f>
        <v>1320865.2030150739</v>
      </c>
      <c r="N85" s="107">
        <f ca="1">G85-('Assumptions '!$D$11)/'Assumptions '!$D$9*100</f>
        <v>1387101.3289553013</v>
      </c>
    </row>
    <row r="86" spans="2:18" x14ac:dyDescent="0.35">
      <c r="B86" s="118">
        <f>B85+$D$73</f>
        <v>7.0000000000000007E-2</v>
      </c>
      <c r="C86" s="107">
        <f ca="1">($K$20*$D$74)/($B$86-C81)</f>
        <v>1069968.1882652116</v>
      </c>
      <c r="D86" s="107">
        <f ca="1">($K$20*$D$74)/($B$86-D81)</f>
        <v>1112766.9157958201</v>
      </c>
      <c r="E86" s="107">
        <f t="shared" ca="1" si="20"/>
        <v>1159132.2039539791</v>
      </c>
      <c r="F86" s="107">
        <f ca="1">($K$20*$D$74)/($B$86-F81)</f>
        <v>1209529.2562998042</v>
      </c>
      <c r="G86" s="107">
        <f ca="1">($K$20*$D$74)/($B$86-G81)</f>
        <v>1264507.8588588862</v>
      </c>
      <c r="I86" s="113">
        <f>I85+$D$73</f>
        <v>7.0000000000000007E-2</v>
      </c>
      <c r="J86" s="107">
        <f ca="1">C86-('Assumptions '!$D$11)/'Assumptions '!$D$9*100</f>
        <v>1066110.8724757379</v>
      </c>
      <c r="K86" s="107">
        <f ca="1">D86-('Assumptions '!$D$11)/'Assumptions '!$D$9*100</f>
        <v>1108909.6000063464</v>
      </c>
      <c r="L86" s="107">
        <f ca="1">E86-('Assumptions '!$D$11)/'Assumptions '!$D$9*100</f>
        <v>1155274.8881645054</v>
      </c>
      <c r="M86" s="107">
        <f ca="1">F86-('Assumptions '!$D$11)/'Assumptions '!$D$9*100</f>
        <v>1205671.9405103305</v>
      </c>
      <c r="N86" s="107">
        <f ca="1">G86-('Assumptions '!$D$11)/'Assumptions '!$D$9*100</f>
        <v>1260650.5430694125</v>
      </c>
    </row>
    <row r="87" spans="2:18" x14ac:dyDescent="0.35">
      <c r="B87" s="194" t="s">
        <v>201</v>
      </c>
      <c r="C87" s="195"/>
      <c r="D87" s="195"/>
      <c r="E87" s="195"/>
      <c r="F87" s="195"/>
      <c r="G87" s="196"/>
      <c r="I87" s="194" t="s">
        <v>204</v>
      </c>
      <c r="J87" s="195"/>
      <c r="K87" s="195"/>
      <c r="L87" s="195"/>
      <c r="M87" s="195"/>
      <c r="N87" s="196"/>
    </row>
    <row r="88" spans="2:18" x14ac:dyDescent="0.35">
      <c r="B88"/>
      <c r="C88"/>
      <c r="D88"/>
      <c r="E88"/>
      <c r="F88"/>
      <c r="G88"/>
      <c r="I88"/>
      <c r="J88"/>
      <c r="K88"/>
      <c r="L88"/>
      <c r="M88"/>
      <c r="N88"/>
    </row>
    <row r="89" spans="2:18" x14ac:dyDescent="0.35">
      <c r="B89" s="187" t="s">
        <v>205</v>
      </c>
      <c r="C89" s="188"/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9"/>
    </row>
    <row r="91" spans="2:18" x14ac:dyDescent="0.35">
      <c r="B91" s="190" t="s">
        <v>203</v>
      </c>
      <c r="C91" s="190"/>
      <c r="D91" s="190"/>
      <c r="E91" s="190"/>
      <c r="F91" s="190"/>
      <c r="G91" s="190"/>
      <c r="I91" s="190" t="s">
        <v>208</v>
      </c>
      <c r="J91" s="190"/>
      <c r="K91" s="190"/>
      <c r="L91" s="190"/>
      <c r="M91" s="190"/>
      <c r="N91" s="190"/>
    </row>
    <row r="92" spans="2:18" x14ac:dyDescent="0.35">
      <c r="B92" s="112" t="s">
        <v>199</v>
      </c>
      <c r="C92" s="191" t="s">
        <v>206</v>
      </c>
      <c r="D92" s="192"/>
      <c r="E92" s="192"/>
      <c r="F92" s="192"/>
      <c r="G92" s="193"/>
      <c r="I92" s="112" t="s">
        <v>199</v>
      </c>
      <c r="J92" s="191" t="s">
        <v>206</v>
      </c>
      <c r="K92" s="192"/>
      <c r="L92" s="192"/>
      <c r="M92" s="192"/>
      <c r="N92" s="193"/>
    </row>
    <row r="93" spans="2:18" x14ac:dyDescent="0.35">
      <c r="B93" s="97"/>
      <c r="C93" s="121">
        <f>D93-D75</f>
        <v>11</v>
      </c>
      <c r="D93" s="121">
        <f>E93-D75</f>
        <v>11.5</v>
      </c>
      <c r="E93" s="100">
        <f>D74</f>
        <v>12</v>
      </c>
      <c r="F93" s="121">
        <f>E93+D75</f>
        <v>12.5</v>
      </c>
      <c r="G93" s="121">
        <f>F93+D75</f>
        <v>13</v>
      </c>
      <c r="I93" s="97"/>
      <c r="J93" s="121">
        <f>K93-K75</f>
        <v>12</v>
      </c>
      <c r="K93" s="121">
        <f>L93-K75</f>
        <v>12</v>
      </c>
      <c r="L93" s="122">
        <f>D74</f>
        <v>12</v>
      </c>
      <c r="M93" s="121">
        <f>L93+K75</f>
        <v>12</v>
      </c>
      <c r="N93" s="121">
        <f>M93+K75</f>
        <v>12</v>
      </c>
    </row>
    <row r="94" spans="2:18" x14ac:dyDescent="0.35">
      <c r="B94" s="113">
        <f>B95-$D$73</f>
        <v>0.05</v>
      </c>
      <c r="C94" s="107">
        <f t="shared" ref="C94:C95" si="21">$J$20*$C$93</f>
        <v>52663.780026624088</v>
      </c>
      <c r="D94" s="107">
        <f t="shared" ref="D94:D95" si="22">$J$20*$D$93</f>
        <v>55057.588209652458</v>
      </c>
      <c r="E94" s="107">
        <f t="shared" ref="E94:E95" si="23">$J$20*$E$93</f>
        <v>57451.396392680821</v>
      </c>
      <c r="F94" s="107">
        <f t="shared" ref="F94:F98" si="24">$J$20*$F$93</f>
        <v>59845.204575709191</v>
      </c>
      <c r="G94" s="107">
        <f t="shared" ref="G94:G98" si="25">$J$20*$G$93</f>
        <v>62239.012758737561</v>
      </c>
      <c r="I94" s="113">
        <f>I95-$D$73</f>
        <v>0.05</v>
      </c>
      <c r="J94" s="107">
        <f>C94-'Assumptions '!$D$11</f>
        <v>51999.780026624088</v>
      </c>
      <c r="K94" s="107">
        <f>D94-'Assumptions '!$D$11</f>
        <v>54393.588209652458</v>
      </c>
      <c r="L94" s="107">
        <f>E94-'Assumptions '!$D$11</f>
        <v>56787.396392680821</v>
      </c>
      <c r="M94" s="107">
        <f>F94-'Assumptions '!$D$11</f>
        <v>59181.204575709191</v>
      </c>
      <c r="N94" s="107">
        <f>G94-'Assumptions '!$D$11</f>
        <v>61575.012758737561</v>
      </c>
    </row>
    <row r="95" spans="2:18" x14ac:dyDescent="0.35">
      <c r="B95" s="113">
        <f>B96-$D$73</f>
        <v>5.5E-2</v>
      </c>
      <c r="C95" s="107">
        <f t="shared" si="21"/>
        <v>52663.780026624088</v>
      </c>
      <c r="D95" s="107">
        <f t="shared" si="22"/>
        <v>55057.588209652458</v>
      </c>
      <c r="E95" s="107">
        <f t="shared" si="23"/>
        <v>57451.396392680821</v>
      </c>
      <c r="F95" s="107">
        <f t="shared" si="24"/>
        <v>59845.204575709191</v>
      </c>
      <c r="G95" s="107">
        <f t="shared" si="25"/>
        <v>62239.012758737561</v>
      </c>
      <c r="I95" s="113">
        <f>I96-$D$73</f>
        <v>5.5E-2</v>
      </c>
      <c r="J95" s="107">
        <f>C95-'Assumptions '!$D$11</f>
        <v>51999.780026624088</v>
      </c>
      <c r="K95" s="107">
        <f>D95-'Assumptions '!$D$11</f>
        <v>54393.588209652458</v>
      </c>
      <c r="L95" s="107">
        <f>E95-'Assumptions '!$D$11</f>
        <v>56787.396392680821</v>
      </c>
      <c r="M95" s="107">
        <f>F95-'Assumptions '!$D$11</f>
        <v>59181.204575709191</v>
      </c>
      <c r="N95" s="107">
        <f>G95-'Assumptions '!$D$11</f>
        <v>61575.012758737561</v>
      </c>
    </row>
    <row r="96" spans="2:18" x14ac:dyDescent="0.35">
      <c r="B96" s="114">
        <f>$D$72</f>
        <v>0.06</v>
      </c>
      <c r="C96" s="107">
        <f>$J$20*$C$93</f>
        <v>52663.780026624088</v>
      </c>
      <c r="D96" s="107">
        <f>$J$20*$D$93</f>
        <v>55057.588209652458</v>
      </c>
      <c r="E96" s="120">
        <f>$J$20*$E$93</f>
        <v>57451.396392680821</v>
      </c>
      <c r="F96" s="107">
        <f>$J$20*$F$93</f>
        <v>59845.204575709191</v>
      </c>
      <c r="G96" s="107">
        <f>$J$20*$G$93</f>
        <v>62239.012758737561</v>
      </c>
      <c r="I96" s="114">
        <f>$D$72</f>
        <v>0.06</v>
      </c>
      <c r="J96" s="107">
        <f>C96-'Assumptions '!$D$11</f>
        <v>51999.780026624088</v>
      </c>
      <c r="K96" s="107">
        <f>D96-'Assumptions '!$D$11</f>
        <v>54393.588209652458</v>
      </c>
      <c r="L96" s="120">
        <f>E96-'Assumptions '!$D$11</f>
        <v>56787.396392680821</v>
      </c>
      <c r="M96" s="107">
        <f>F96-'Assumptions '!$D$11</f>
        <v>59181.204575709191</v>
      </c>
      <c r="N96" s="107">
        <f>G96-'Assumptions '!$D$11</f>
        <v>61575.012758737561</v>
      </c>
    </row>
    <row r="97" spans="2:14" x14ac:dyDescent="0.35">
      <c r="B97" s="113">
        <f>B96+$D$73</f>
        <v>6.5000000000000002E-2</v>
      </c>
      <c r="C97" s="107">
        <f t="shared" ref="C97:C98" si="26">$J$20*$C$93</f>
        <v>52663.780026624088</v>
      </c>
      <c r="D97" s="107">
        <f t="shared" ref="D97:D98" si="27">$J$20*$D$93</f>
        <v>55057.588209652458</v>
      </c>
      <c r="E97" s="107">
        <f t="shared" ref="E97:E98" si="28">$J$20*$E$93</f>
        <v>57451.396392680821</v>
      </c>
      <c r="F97" s="107">
        <f t="shared" si="24"/>
        <v>59845.204575709191</v>
      </c>
      <c r="G97" s="107">
        <f t="shared" si="25"/>
        <v>62239.012758737561</v>
      </c>
      <c r="I97" s="113">
        <f>I96+$D$73</f>
        <v>6.5000000000000002E-2</v>
      </c>
      <c r="J97" s="107">
        <f>C97-'Assumptions '!$D$11</f>
        <v>51999.780026624088</v>
      </c>
      <c r="K97" s="107">
        <f>D97-'Assumptions '!$D$11</f>
        <v>54393.588209652458</v>
      </c>
      <c r="L97" s="107">
        <f>E97-'Assumptions '!$D$11</f>
        <v>56787.396392680821</v>
      </c>
      <c r="M97" s="107">
        <f>F97-'Assumptions '!$D$11</f>
        <v>59181.204575709191</v>
      </c>
      <c r="N97" s="107">
        <f>G97-'Assumptions '!$D$11</f>
        <v>61575.012758737561</v>
      </c>
    </row>
    <row r="98" spans="2:14" x14ac:dyDescent="0.35">
      <c r="B98" s="113">
        <f>B97+$D$73</f>
        <v>7.0000000000000007E-2</v>
      </c>
      <c r="C98" s="107">
        <f t="shared" si="26"/>
        <v>52663.780026624088</v>
      </c>
      <c r="D98" s="107">
        <f t="shared" si="27"/>
        <v>55057.588209652458</v>
      </c>
      <c r="E98" s="107">
        <f t="shared" si="28"/>
        <v>57451.396392680821</v>
      </c>
      <c r="F98" s="107">
        <f t="shared" si="24"/>
        <v>59845.204575709191</v>
      </c>
      <c r="G98" s="107">
        <f t="shared" si="25"/>
        <v>62239.012758737561</v>
      </c>
      <c r="I98" s="113">
        <f>I97+$D$73</f>
        <v>7.0000000000000007E-2</v>
      </c>
      <c r="J98" s="107">
        <f>C98-'Assumptions '!$D$11</f>
        <v>51999.780026624088</v>
      </c>
      <c r="K98" s="107">
        <f>D98-'Assumptions '!$D$11</f>
        <v>54393.588209652458</v>
      </c>
      <c r="L98" s="107">
        <f>E98-'Assumptions '!$D$11</f>
        <v>56787.396392680821</v>
      </c>
      <c r="M98" s="107">
        <f>F98-'Assumptions '!$D$11</f>
        <v>59181.204575709191</v>
      </c>
      <c r="N98" s="107">
        <f>G98-'Assumptions '!$D$11</f>
        <v>61575.012758737561</v>
      </c>
    </row>
    <row r="99" spans="2:14" x14ac:dyDescent="0.35">
      <c r="B99" s="194" t="s">
        <v>207</v>
      </c>
      <c r="C99" s="195"/>
      <c r="D99" s="195"/>
      <c r="E99" s="195"/>
      <c r="F99" s="195"/>
      <c r="G99" s="196"/>
      <c r="I99" s="194" t="s">
        <v>209</v>
      </c>
      <c r="J99" s="195"/>
      <c r="K99" s="195"/>
      <c r="L99" s="195"/>
      <c r="M99" s="195"/>
      <c r="N99" s="196"/>
    </row>
  </sheetData>
  <mergeCells count="78">
    <mergeCell ref="B74:C74"/>
    <mergeCell ref="B75:C75"/>
    <mergeCell ref="B77:R77"/>
    <mergeCell ref="C80:G80"/>
    <mergeCell ref="B68:R68"/>
    <mergeCell ref="B70:C70"/>
    <mergeCell ref="B71:C71"/>
    <mergeCell ref="B72:C72"/>
    <mergeCell ref="B73:C73"/>
    <mergeCell ref="M64:N64"/>
    <mergeCell ref="M65:N65"/>
    <mergeCell ref="M66:N66"/>
    <mergeCell ref="I58:O58"/>
    <mergeCell ref="F7:N7"/>
    <mergeCell ref="M59:N59"/>
    <mergeCell ref="M60:N60"/>
    <mergeCell ref="M61:N61"/>
    <mergeCell ref="M62:N62"/>
    <mergeCell ref="M63:N63"/>
    <mergeCell ref="I59:L59"/>
    <mergeCell ref="I60:L60"/>
    <mergeCell ref="I61:L61"/>
    <mergeCell ref="I62:L62"/>
    <mergeCell ref="I63:L63"/>
    <mergeCell ref="I64:L64"/>
    <mergeCell ref="D63:E63"/>
    <mergeCell ref="D64:E64"/>
    <mergeCell ref="I65:L65"/>
    <mergeCell ref="I66:L66"/>
    <mergeCell ref="B63:C63"/>
    <mergeCell ref="B64:C64"/>
    <mergeCell ref="B65:C65"/>
    <mergeCell ref="B66:C66"/>
    <mergeCell ref="D65:E65"/>
    <mergeCell ref="D66:E66"/>
    <mergeCell ref="B59:C59"/>
    <mergeCell ref="D59:E59"/>
    <mergeCell ref="B60:C60"/>
    <mergeCell ref="B61:C61"/>
    <mergeCell ref="B62:C62"/>
    <mergeCell ref="D60:E60"/>
    <mergeCell ref="D61:E61"/>
    <mergeCell ref="D62:E62"/>
    <mergeCell ref="B58:F58"/>
    <mergeCell ref="B2:R2"/>
    <mergeCell ref="B4:R4"/>
    <mergeCell ref="B5:C5"/>
    <mergeCell ref="B6:C6"/>
    <mergeCell ref="B7:C7"/>
    <mergeCell ref="D5:E5"/>
    <mergeCell ref="D6:E6"/>
    <mergeCell ref="D7:E7"/>
    <mergeCell ref="B8:C8"/>
    <mergeCell ref="B9:C9"/>
    <mergeCell ref="B11:R11"/>
    <mergeCell ref="C15:E15"/>
    <mergeCell ref="F15:J15"/>
    <mergeCell ref="K15:O15"/>
    <mergeCell ref="B56:C56"/>
    <mergeCell ref="B55:C55"/>
    <mergeCell ref="D8:E8"/>
    <mergeCell ref="D9:E9"/>
    <mergeCell ref="P12:U14"/>
    <mergeCell ref="F8:N8"/>
    <mergeCell ref="F9:N9"/>
    <mergeCell ref="B54:R54"/>
    <mergeCell ref="B87:G87"/>
    <mergeCell ref="B79:G79"/>
    <mergeCell ref="I79:N79"/>
    <mergeCell ref="J80:N80"/>
    <mergeCell ref="I87:N87"/>
    <mergeCell ref="B89:R89"/>
    <mergeCell ref="B91:G91"/>
    <mergeCell ref="C92:G92"/>
    <mergeCell ref="B99:G99"/>
    <mergeCell ref="I91:N91"/>
    <mergeCell ref="J92:N92"/>
    <mergeCell ref="I99:N99"/>
  </mergeCells>
  <phoneticPr fontId="7" type="noConversion"/>
  <pageMargins left="0.7" right="0.7" top="0.75" bottom="0.75" header="0.3" footer="0.3"/>
  <ignoredErrors>
    <ignoredError sqref="E82:E8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9849C-A52C-4E02-AE46-8F97EE632470}">
  <dimension ref="B2:Y119"/>
  <sheetViews>
    <sheetView zoomScale="60" workbookViewId="0">
      <selection activeCell="B117" sqref="B117"/>
    </sheetView>
  </sheetViews>
  <sheetFormatPr defaultRowHeight="18" x14ac:dyDescent="0.35"/>
  <cols>
    <col min="1" max="1" width="8.88671875" style="79"/>
    <col min="2" max="2" width="29.21875" style="79" bestFit="1" customWidth="1"/>
    <col min="3" max="7" width="24.5546875" style="79" bestFit="1" customWidth="1"/>
    <col min="8" max="8" width="12.33203125" style="79" bestFit="1" customWidth="1"/>
    <col min="9" max="9" width="12.44140625" style="79" bestFit="1" customWidth="1"/>
    <col min="10" max="14" width="17.109375" style="79" bestFit="1" customWidth="1"/>
    <col min="15" max="15" width="13.77734375" style="79" bestFit="1" customWidth="1"/>
    <col min="16" max="16" width="16.44140625" style="79" customWidth="1"/>
    <col min="17" max="17" width="8.88671875" style="79"/>
    <col min="18" max="18" width="6.33203125" style="79" customWidth="1"/>
    <col min="19" max="19" width="8.88671875" style="79"/>
    <col min="20" max="20" width="8.88671875" style="79" customWidth="1"/>
    <col min="21" max="22" width="8.88671875" style="79"/>
    <col min="23" max="23" width="8.88671875" style="79" customWidth="1"/>
    <col min="24" max="24" width="5.88671875" style="79" customWidth="1"/>
    <col min="25" max="16384" width="8.88671875" style="79"/>
  </cols>
  <sheetData>
    <row r="2" spans="2:25" x14ac:dyDescent="0.35">
      <c r="B2" s="203" t="s">
        <v>211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</row>
    <row r="4" spans="2:25" x14ac:dyDescent="0.35">
      <c r="B4" s="203" t="s">
        <v>212</v>
      </c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</row>
    <row r="5" spans="2:25" hidden="1" x14ac:dyDescent="0.35">
      <c r="B5" s="204" t="s">
        <v>152</v>
      </c>
      <c r="C5" s="204"/>
      <c r="D5" s="207">
        <f>'Assumptions '!G4</f>
        <v>46112</v>
      </c>
      <c r="E5" s="199"/>
    </row>
    <row r="6" spans="2:25" hidden="1" x14ac:dyDescent="0.35">
      <c r="B6" s="205" t="s">
        <v>153</v>
      </c>
      <c r="C6" s="206"/>
      <c r="D6" s="207">
        <f>D5+365</f>
        <v>46477</v>
      </c>
      <c r="E6" s="199"/>
    </row>
    <row r="7" spans="2:25" hidden="1" x14ac:dyDescent="0.35">
      <c r="B7" s="205" t="s">
        <v>154</v>
      </c>
      <c r="C7" s="206"/>
      <c r="D7" s="198">
        <v>0.01</v>
      </c>
      <c r="E7" s="199"/>
      <c r="F7" s="201" t="s">
        <v>186</v>
      </c>
      <c r="G7" s="201"/>
      <c r="H7" s="201"/>
      <c r="I7" s="201"/>
      <c r="J7" s="201"/>
      <c r="K7" s="201"/>
      <c r="L7" s="201"/>
      <c r="M7" s="201"/>
      <c r="N7" s="201"/>
    </row>
    <row r="8" spans="2:25" hidden="1" x14ac:dyDescent="0.35">
      <c r="B8" s="205" t="s">
        <v>155</v>
      </c>
      <c r="C8" s="206"/>
      <c r="D8" s="197">
        <v>12</v>
      </c>
      <c r="E8" s="197"/>
      <c r="F8" s="201" t="s">
        <v>187</v>
      </c>
      <c r="G8" s="201"/>
      <c r="H8" s="201"/>
      <c r="I8" s="201"/>
      <c r="J8" s="201"/>
      <c r="K8" s="201"/>
      <c r="L8" s="201"/>
      <c r="M8" s="201"/>
      <c r="N8" s="201"/>
      <c r="O8"/>
      <c r="P8"/>
      <c r="Q8"/>
      <c r="R8"/>
      <c r="S8"/>
      <c r="T8"/>
      <c r="U8"/>
      <c r="V8"/>
      <c r="W8"/>
      <c r="X8"/>
      <c r="Y8"/>
    </row>
    <row r="9" spans="2:25" hidden="1" x14ac:dyDescent="0.35">
      <c r="B9" s="205" t="s">
        <v>156</v>
      </c>
      <c r="C9" s="206"/>
      <c r="D9" s="198">
        <v>0.06</v>
      </c>
      <c r="E9" s="199"/>
      <c r="F9" s="201" t="s">
        <v>188</v>
      </c>
      <c r="G9" s="201"/>
      <c r="H9" s="201"/>
      <c r="I9" s="201"/>
      <c r="J9" s="201"/>
      <c r="K9" s="201"/>
      <c r="L9" s="201"/>
      <c r="M9" s="201"/>
      <c r="N9" s="201"/>
    </row>
    <row r="10" spans="2:25" hidden="1" x14ac:dyDescent="0.35"/>
    <row r="11" spans="2:25" hidden="1" x14ac:dyDescent="0.35">
      <c r="B11" s="203" t="s">
        <v>157</v>
      </c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8"/>
      <c r="Q11" s="208"/>
      <c r="R11" s="208"/>
    </row>
    <row r="12" spans="2:25" hidden="1" x14ac:dyDescent="0.35">
      <c r="B12" s="81" t="s">
        <v>158</v>
      </c>
      <c r="C12" s="80"/>
      <c r="D12" s="82">
        <v>12</v>
      </c>
      <c r="E12" s="82">
        <v>12</v>
      </c>
      <c r="F12" s="82">
        <v>12</v>
      </c>
      <c r="G12" s="82">
        <v>12</v>
      </c>
      <c r="H12" s="82">
        <v>12</v>
      </c>
      <c r="I12" s="82">
        <v>12</v>
      </c>
      <c r="J12" s="82">
        <v>12</v>
      </c>
      <c r="K12" s="82">
        <v>12</v>
      </c>
      <c r="L12" s="82">
        <v>12</v>
      </c>
      <c r="M12" s="82">
        <v>12</v>
      </c>
      <c r="N12" s="82">
        <v>12</v>
      </c>
      <c r="O12" s="83">
        <v>12</v>
      </c>
      <c r="P12" s="200" t="s">
        <v>161</v>
      </c>
      <c r="Q12" s="200"/>
      <c r="R12" s="200"/>
      <c r="S12" s="200"/>
      <c r="T12" s="200"/>
      <c r="U12" s="200"/>
    </row>
    <row r="13" spans="2:25" ht="14.4" hidden="1" customHeight="1" x14ac:dyDescent="0.35">
      <c r="B13" s="81" t="s">
        <v>159</v>
      </c>
      <c r="C13" s="80"/>
      <c r="D13" s="82">
        <v>1</v>
      </c>
      <c r="E13" s="82">
        <v>1</v>
      </c>
      <c r="F13" s="82">
        <v>1</v>
      </c>
      <c r="G13" s="82">
        <v>0</v>
      </c>
      <c r="H13" s="82">
        <v>0</v>
      </c>
      <c r="I13" s="82">
        <v>0</v>
      </c>
      <c r="J13" s="82">
        <v>0</v>
      </c>
      <c r="K13" s="82">
        <v>0</v>
      </c>
      <c r="L13" s="82">
        <v>0</v>
      </c>
      <c r="M13" s="82">
        <v>0</v>
      </c>
      <c r="N13" s="82">
        <v>0</v>
      </c>
      <c r="O13" s="82">
        <v>0</v>
      </c>
      <c r="P13" s="200"/>
      <c r="Q13" s="200"/>
      <c r="R13" s="200"/>
      <c r="S13" s="200"/>
      <c r="T13" s="200"/>
      <c r="U13" s="200"/>
    </row>
    <row r="14" spans="2:25" hidden="1" x14ac:dyDescent="0.35">
      <c r="P14" s="200"/>
      <c r="Q14" s="200"/>
      <c r="R14" s="200"/>
      <c r="S14" s="200"/>
      <c r="T14" s="200"/>
      <c r="U14" s="200"/>
    </row>
    <row r="15" spans="2:25" x14ac:dyDescent="0.35">
      <c r="C15" s="209" t="s">
        <v>107</v>
      </c>
      <c r="D15" s="209"/>
      <c r="E15" s="209"/>
      <c r="F15" s="201" t="s">
        <v>125</v>
      </c>
      <c r="G15" s="201"/>
      <c r="H15" s="201"/>
      <c r="I15" s="201"/>
      <c r="J15" s="201"/>
      <c r="K15" s="210" t="s">
        <v>126</v>
      </c>
      <c r="L15" s="210"/>
      <c r="M15" s="210"/>
      <c r="N15" s="210"/>
      <c r="O15" s="210"/>
    </row>
    <row r="16" spans="2:25" x14ac:dyDescent="0.35">
      <c r="B16" s="80" t="s">
        <v>160</v>
      </c>
      <c r="C16" s="85" t="s">
        <v>115</v>
      </c>
      <c r="D16" s="85" t="s">
        <v>106</v>
      </c>
      <c r="E16" s="85" t="s">
        <v>64</v>
      </c>
      <c r="F16" s="85" t="s">
        <v>52</v>
      </c>
      <c r="G16" s="85" t="s">
        <v>43</v>
      </c>
      <c r="H16" s="85" t="s">
        <v>44</v>
      </c>
      <c r="I16" s="85" t="s">
        <v>45</v>
      </c>
      <c r="J16" s="85" t="s">
        <v>53</v>
      </c>
      <c r="K16" s="85" t="s">
        <v>127</v>
      </c>
      <c r="L16" s="85" t="s">
        <v>128</v>
      </c>
      <c r="M16" s="85" t="s">
        <v>129</v>
      </c>
      <c r="N16" s="85" t="s">
        <v>130</v>
      </c>
      <c r="O16" s="85" t="s">
        <v>131</v>
      </c>
    </row>
    <row r="17" spans="2:15" x14ac:dyDescent="0.35">
      <c r="B17" s="86" t="s">
        <v>69</v>
      </c>
      <c r="C17" s="87">
        <f>Financials!F6</f>
        <v>1031</v>
      </c>
      <c r="D17" s="87">
        <f>Financials!G6</f>
        <v>1818</v>
      </c>
      <c r="E17" s="87">
        <f>Financials!H6</f>
        <v>2664</v>
      </c>
      <c r="F17" s="87">
        <f>Financials!I6</f>
        <v>3732.1041599999999</v>
      </c>
      <c r="G17" s="87">
        <f>Financials!J6</f>
        <v>5038.3406159999995</v>
      </c>
      <c r="H17" s="87">
        <f>Financials!K6</f>
        <v>6549.8428007999992</v>
      </c>
      <c r="I17" s="87">
        <f>Financials!L6</f>
        <v>8187.3035009999985</v>
      </c>
      <c r="J17" s="87">
        <f>Financials!M6</f>
        <v>9824.7642011999978</v>
      </c>
      <c r="K17" s="87">
        <f ca="1">Financials!N6</f>
        <v>11593.221757415997</v>
      </c>
      <c r="L17" s="87">
        <f ca="1">Financials!O6</f>
        <v>13448.137238602556</v>
      </c>
      <c r="M17" s="87">
        <f ca="1">Financials!P6</f>
        <v>15330.876452006916</v>
      </c>
      <c r="N17" s="87">
        <f ca="1">Financials!Q6</f>
        <v>17170.581626247749</v>
      </c>
      <c r="O17" s="87">
        <f ca="1">Financials!R6</f>
        <v>18887.639788872526</v>
      </c>
    </row>
    <row r="18" spans="2:15" x14ac:dyDescent="0.35">
      <c r="B18" s="88" t="s">
        <v>135</v>
      </c>
      <c r="C18" s="89">
        <f t="shared" ref="C18:O18" si="0">IFERROR(C17/B17-1,0)</f>
        <v>0</v>
      </c>
      <c r="D18" s="89">
        <f t="shared" si="0"/>
        <v>0.76333656644034908</v>
      </c>
      <c r="E18" s="89">
        <f t="shared" si="0"/>
        <v>0.46534653465346532</v>
      </c>
      <c r="F18" s="89">
        <f t="shared" si="0"/>
        <v>0.40093999999999985</v>
      </c>
      <c r="G18" s="89">
        <f t="shared" si="0"/>
        <v>0.34999999999999987</v>
      </c>
      <c r="H18" s="89">
        <f t="shared" si="0"/>
        <v>0.30000000000000004</v>
      </c>
      <c r="I18" s="89">
        <f t="shared" si="0"/>
        <v>0.25</v>
      </c>
      <c r="J18" s="89">
        <f t="shared" si="0"/>
        <v>0.19999999999999996</v>
      </c>
      <c r="K18" s="89">
        <f t="shared" ca="1" si="0"/>
        <v>0.17999999999999994</v>
      </c>
      <c r="L18" s="89">
        <f t="shared" ca="1" si="0"/>
        <v>0.15999999999999992</v>
      </c>
      <c r="M18" s="89">
        <f t="shared" ca="1" si="0"/>
        <v>0.14000000000000012</v>
      </c>
      <c r="N18" s="89">
        <f t="shared" ca="1" si="0"/>
        <v>0.12000000000000011</v>
      </c>
      <c r="O18" s="89">
        <f t="shared" ca="1" si="0"/>
        <v>0.10000000000000009</v>
      </c>
    </row>
    <row r="20" spans="2:15" x14ac:dyDescent="0.35">
      <c r="B20" s="86" t="s">
        <v>79</v>
      </c>
      <c r="C20" s="87">
        <f>Financials!F9</f>
        <v>634</v>
      </c>
      <c r="D20" s="87">
        <f>Financials!G9</f>
        <v>505</v>
      </c>
      <c r="E20" s="87">
        <f>Financials!H9</f>
        <v>883.99999999999977</v>
      </c>
      <c r="F20" s="87">
        <f ca="1">Financials!I9</f>
        <v>1370.5509225599992</v>
      </c>
      <c r="G20" s="87">
        <f ca="1">Financials!J9</f>
        <v>2102.1597817919992</v>
      </c>
      <c r="H20" s="87">
        <f ca="1">Financials!K9</f>
        <v>2948.5004066063993</v>
      </c>
      <c r="I20" s="87">
        <f ca="1">Financials!L9</f>
        <v>3866.6229658271996</v>
      </c>
      <c r="J20" s="87">
        <f>Financials!M9</f>
        <v>4787.6163660567354</v>
      </c>
      <c r="K20" s="87">
        <f ca="1">Financials!N9</f>
        <v>5795.6610197698965</v>
      </c>
      <c r="L20" s="87">
        <f ca="1">Financials!O9</f>
        <v>6855.7707862974285</v>
      </c>
      <c r="M20" s="87">
        <f ca="1">Financials!P9</f>
        <v>7920.3092069527411</v>
      </c>
      <c r="N20" s="87">
        <f ca="1">Financials!Q9</f>
        <v>8931.2426478667003</v>
      </c>
      <c r="O20" s="87">
        <f ca="1">Financials!R9</f>
        <v>9824.3669126533714</v>
      </c>
    </row>
    <row r="21" spans="2:15" x14ac:dyDescent="0.35">
      <c r="B21" s="88" t="s">
        <v>136</v>
      </c>
      <c r="C21" s="89">
        <f>C20/C17</f>
        <v>0.61493695441319107</v>
      </c>
      <c r="D21" s="89">
        <f t="shared" ref="D21:O21" si="1">D20/D17</f>
        <v>0.27777777777777779</v>
      </c>
      <c r="E21" s="89">
        <f t="shared" si="1"/>
        <v>0.33183183183183174</v>
      </c>
      <c r="F21" s="89">
        <f t="shared" ca="1" si="1"/>
        <v>0.36723276302127628</v>
      </c>
      <c r="G21" s="89">
        <f t="shared" ca="1" si="1"/>
        <v>0.41723256564200489</v>
      </c>
      <c r="H21" s="89">
        <f t="shared" ca="1" si="1"/>
        <v>0.45016353770296119</v>
      </c>
      <c r="I21" s="89">
        <f t="shared" ca="1" si="1"/>
        <v>0.47227062797353603</v>
      </c>
      <c r="J21" s="89">
        <f t="shared" si="1"/>
        <v>0.48730089272493432</v>
      </c>
      <c r="K21" s="89">
        <f t="shared" ca="1" si="1"/>
        <v>0.49991806773319986</v>
      </c>
      <c r="L21" s="89">
        <f t="shared" ca="1" si="1"/>
        <v>0.5097933390074354</v>
      </c>
      <c r="M21" s="89">
        <f t="shared" ca="1" si="1"/>
        <v>0.51662468429297914</v>
      </c>
      <c r="N21" s="89">
        <f t="shared" ca="1" si="1"/>
        <v>0.52014793920632174</v>
      </c>
      <c r="O21" s="89">
        <f t="shared" ca="1" si="1"/>
        <v>0.52014793920632185</v>
      </c>
    </row>
    <row r="22" spans="2:15" x14ac:dyDescent="0.35">
      <c r="B22" s="88" t="s">
        <v>135</v>
      </c>
      <c r="C22" s="89">
        <f>IFERROR(C20/B20-1,0)</f>
        <v>0</v>
      </c>
      <c r="D22" s="89">
        <f t="shared" ref="D22:O22" si="2">IFERROR(D20/C20-1,0)</f>
        <v>-0.20347003154574128</v>
      </c>
      <c r="E22" s="89">
        <f t="shared" si="2"/>
        <v>0.75049504950495005</v>
      </c>
      <c r="F22" s="89">
        <f t="shared" ca="1" si="2"/>
        <v>0.55039697122171893</v>
      </c>
      <c r="G22" s="89">
        <f t="shared" ca="1" si="2"/>
        <v>0.5338064038258834</v>
      </c>
      <c r="H22" s="89">
        <f t="shared" ca="1" si="2"/>
        <v>0.40260527869719387</v>
      </c>
      <c r="I22" s="89">
        <f t="shared" ca="1" si="2"/>
        <v>0.3113862752617087</v>
      </c>
      <c r="J22" s="89">
        <f t="shared" ca="1" si="2"/>
        <v>0.23819064035184634</v>
      </c>
      <c r="K22" s="89">
        <f t="shared" ca="1" si="2"/>
        <v>0.21055251228147709</v>
      </c>
      <c r="L22" s="89">
        <f t="shared" ca="1" si="2"/>
        <v>0.18291438421110784</v>
      </c>
      <c r="M22" s="89">
        <f t="shared" ca="1" si="2"/>
        <v>0.15527625614073859</v>
      </c>
      <c r="N22" s="89">
        <f t="shared" ca="1" si="2"/>
        <v>0.12763812807036934</v>
      </c>
      <c r="O22" s="89">
        <f t="shared" ca="1" si="2"/>
        <v>0.10000000000000009</v>
      </c>
    </row>
    <row r="24" spans="2:15" x14ac:dyDescent="0.35">
      <c r="B24" s="86" t="s">
        <v>162</v>
      </c>
      <c r="C24" s="87">
        <f>Financials!F13</f>
        <v>113</v>
      </c>
      <c r="D24" s="87">
        <f>Financials!G13</f>
        <v>113</v>
      </c>
      <c r="E24" s="87">
        <f>Financials!H13</f>
        <v>113</v>
      </c>
      <c r="F24" s="87">
        <f>Financials!I13</f>
        <v>113</v>
      </c>
      <c r="G24" s="87">
        <f>Financials!J13</f>
        <v>113</v>
      </c>
      <c r="H24" s="87">
        <f>Financials!K13</f>
        <v>113</v>
      </c>
      <c r="I24" s="87">
        <f>Financials!L13</f>
        <v>113</v>
      </c>
      <c r="J24" s="87">
        <f>Financials!M13</f>
        <v>113</v>
      </c>
      <c r="K24" s="87">
        <f>Financials!N13</f>
        <v>113</v>
      </c>
      <c r="L24" s="87">
        <f>Financials!O13</f>
        <v>113</v>
      </c>
      <c r="M24" s="87">
        <f>Financials!P13</f>
        <v>113</v>
      </c>
      <c r="N24" s="87">
        <f>Financials!Q13</f>
        <v>113</v>
      </c>
      <c r="O24" s="87">
        <f>Financials!R13</f>
        <v>113</v>
      </c>
    </row>
    <row r="25" spans="2:15" x14ac:dyDescent="0.35">
      <c r="B25" s="88" t="s">
        <v>143</v>
      </c>
      <c r="C25" s="89">
        <f>C24/C17</f>
        <v>0.1096023278370514</v>
      </c>
      <c r="D25" s="89">
        <f t="shared" ref="D25:O25" si="3">D24/D17</f>
        <v>6.2156215621562157E-2</v>
      </c>
      <c r="E25" s="89">
        <f t="shared" si="3"/>
        <v>4.2417417417417419E-2</v>
      </c>
      <c r="F25" s="89">
        <f t="shared" si="3"/>
        <v>3.0277825900764787E-2</v>
      </c>
      <c r="G25" s="89">
        <f t="shared" si="3"/>
        <v>2.2428019185751696E-2</v>
      </c>
      <c r="H25" s="89">
        <f t="shared" si="3"/>
        <v>1.7252322450578228E-2</v>
      </c>
      <c r="I25" s="89">
        <f t="shared" si="3"/>
        <v>1.3801857960462582E-2</v>
      </c>
      <c r="J25" s="89">
        <f t="shared" si="3"/>
        <v>1.1501548300385486E-2</v>
      </c>
      <c r="K25" s="89">
        <f t="shared" ca="1" si="3"/>
        <v>9.7470748308351573E-3</v>
      </c>
      <c r="L25" s="89">
        <f t="shared" ca="1" si="3"/>
        <v>8.4026507162372061E-3</v>
      </c>
      <c r="M25" s="89">
        <f t="shared" ca="1" si="3"/>
        <v>7.370746242313337E-3</v>
      </c>
      <c r="N25" s="89">
        <f t="shared" ca="1" si="3"/>
        <v>6.5810234306369064E-3</v>
      </c>
      <c r="O25" s="89">
        <f t="shared" ca="1" si="3"/>
        <v>5.9827485733062779E-3</v>
      </c>
    </row>
    <row r="26" spans="2:15" x14ac:dyDescent="0.35">
      <c r="B26" s="88" t="s">
        <v>163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8" spans="2:15" x14ac:dyDescent="0.35">
      <c r="B28" s="86" t="s">
        <v>138</v>
      </c>
      <c r="C28" s="87">
        <f>Financials!F16</f>
        <v>521</v>
      </c>
      <c r="D28" s="87">
        <f>Financials!G16</f>
        <v>392</v>
      </c>
      <c r="E28" s="87">
        <f>Financials!H16</f>
        <v>770.99999999999977</v>
      </c>
      <c r="F28" s="87">
        <f ca="1">Financials!I16</f>
        <v>1370.5509225599992</v>
      </c>
      <c r="G28" s="87">
        <f ca="1">Financials!J16</f>
        <v>2102.1597817919992</v>
      </c>
      <c r="H28" s="87">
        <f ca="1">Financials!K16</f>
        <v>2948.5004066063993</v>
      </c>
      <c r="I28" s="87">
        <f ca="1">Financials!L16</f>
        <v>3866.6229658271996</v>
      </c>
      <c r="J28" s="87">
        <f>Financials!M16</f>
        <v>4787.6163660567354</v>
      </c>
      <c r="K28" s="87">
        <f ca="1">Financials!N16</f>
        <v>5795.6610197698965</v>
      </c>
      <c r="L28" s="87">
        <f ca="1">Financials!O16</f>
        <v>6855.7707862974285</v>
      </c>
      <c r="M28" s="87">
        <f ca="1">Financials!P16</f>
        <v>7920.3092069527411</v>
      </c>
      <c r="N28" s="87">
        <f ca="1">Financials!Q16</f>
        <v>8931.2426478667003</v>
      </c>
      <c r="O28" s="87">
        <f ca="1">Financials!R16</f>
        <v>9824.3669126533696</v>
      </c>
    </row>
    <row r="29" spans="2:15" x14ac:dyDescent="0.35">
      <c r="B29" s="88" t="s">
        <v>136</v>
      </c>
      <c r="C29" s="89">
        <f>C28/C17</f>
        <v>0.5053346265761397</v>
      </c>
      <c r="D29" s="89">
        <f t="shared" ref="D29:O29" si="4">D28/D17</f>
        <v>0.21562156215621561</v>
      </c>
      <c r="E29" s="89">
        <f t="shared" si="4"/>
        <v>0.28941441441441434</v>
      </c>
      <c r="F29" s="89">
        <f t="shared" ca="1" si="4"/>
        <v>0.36723276302127628</v>
      </c>
      <c r="G29" s="89">
        <f t="shared" ca="1" si="4"/>
        <v>0.41723256564200489</v>
      </c>
      <c r="H29" s="89">
        <f t="shared" ca="1" si="4"/>
        <v>0.45016353770296119</v>
      </c>
      <c r="I29" s="89">
        <f t="shared" ca="1" si="4"/>
        <v>0.47227062797353603</v>
      </c>
      <c r="J29" s="89">
        <f t="shared" si="4"/>
        <v>0.48730089272493432</v>
      </c>
      <c r="K29" s="89">
        <f t="shared" ca="1" si="4"/>
        <v>0.49991806773319986</v>
      </c>
      <c r="L29" s="89">
        <f t="shared" ca="1" si="4"/>
        <v>0.5097933390074354</v>
      </c>
      <c r="M29" s="89">
        <f t="shared" ca="1" si="4"/>
        <v>0.51662468429297914</v>
      </c>
      <c r="N29" s="89">
        <f t="shared" ca="1" si="4"/>
        <v>0.52014793920632174</v>
      </c>
      <c r="O29" s="89">
        <f t="shared" ca="1" si="4"/>
        <v>0.52014793920632174</v>
      </c>
    </row>
    <row r="30" spans="2:15" x14ac:dyDescent="0.35">
      <c r="B30" s="88" t="s">
        <v>135</v>
      </c>
      <c r="C30" s="89">
        <f>IFERROR(C28/B28-1,0)</f>
        <v>0</v>
      </c>
      <c r="D30" s="89">
        <f t="shared" ref="D30:O30" si="5">IFERROR(D28/C28-1,0)</f>
        <v>-0.24760076775431861</v>
      </c>
      <c r="E30" s="89">
        <f t="shared" si="5"/>
        <v>0.96683673469387688</v>
      </c>
      <c r="F30" s="89">
        <f t="shared" ca="1" si="5"/>
        <v>0.77762765571984382</v>
      </c>
      <c r="G30" s="89">
        <f t="shared" ca="1" si="5"/>
        <v>0.5338064038258834</v>
      </c>
      <c r="H30" s="89">
        <f t="shared" ca="1" si="5"/>
        <v>0.40260527869719387</v>
      </c>
      <c r="I30" s="89">
        <f t="shared" ca="1" si="5"/>
        <v>0.3113862752617087</v>
      </c>
      <c r="J30" s="89">
        <f t="shared" ca="1" si="5"/>
        <v>0.23819064035184634</v>
      </c>
      <c r="K30" s="89">
        <f t="shared" ca="1" si="5"/>
        <v>0.21055251228147709</v>
      </c>
      <c r="L30" s="89">
        <f t="shared" ca="1" si="5"/>
        <v>0.18291438421110784</v>
      </c>
      <c r="M30" s="89">
        <f t="shared" ca="1" si="5"/>
        <v>0.15527625614073859</v>
      </c>
      <c r="N30" s="89">
        <f t="shared" ca="1" si="5"/>
        <v>0.12763812807036934</v>
      </c>
      <c r="O30" s="89">
        <f t="shared" ca="1" si="5"/>
        <v>9.9999999999999867E-2</v>
      </c>
    </row>
    <row r="32" spans="2:15" x14ac:dyDescent="0.35">
      <c r="B32" s="86" t="s">
        <v>164</v>
      </c>
      <c r="C32" s="90">
        <f>C28*C33</f>
        <v>104.2</v>
      </c>
      <c r="D32" s="90">
        <f t="shared" ref="D32:O32" si="6">D28*D33</f>
        <v>78.400000000000006</v>
      </c>
      <c r="E32" s="90">
        <f t="shared" si="6"/>
        <v>154.19999999999996</v>
      </c>
      <c r="F32" s="90">
        <f t="shared" ca="1" si="6"/>
        <v>274.11018451199988</v>
      </c>
      <c r="G32" s="90">
        <f t="shared" ca="1" si="6"/>
        <v>420.43195635839987</v>
      </c>
      <c r="H32" s="90">
        <f t="shared" ca="1" si="6"/>
        <v>589.70008132127987</v>
      </c>
      <c r="I32" s="90">
        <f t="shared" ca="1" si="6"/>
        <v>773.32459316543998</v>
      </c>
      <c r="J32" s="90">
        <f t="shared" si="6"/>
        <v>957.52327321134715</v>
      </c>
      <c r="K32" s="90">
        <f t="shared" ca="1" si="6"/>
        <v>1159.1322039539793</v>
      </c>
      <c r="L32" s="90">
        <f t="shared" ca="1" si="6"/>
        <v>1371.1541572594858</v>
      </c>
      <c r="M32" s="90">
        <f t="shared" ca="1" si="6"/>
        <v>1584.0618413905484</v>
      </c>
      <c r="N32" s="90">
        <f t="shared" ca="1" si="6"/>
        <v>1786.2485295733402</v>
      </c>
      <c r="O32" s="90">
        <f t="shared" ca="1" si="6"/>
        <v>1964.873382530674</v>
      </c>
    </row>
    <row r="33" spans="2:15" x14ac:dyDescent="0.35">
      <c r="B33" s="88" t="s">
        <v>165</v>
      </c>
      <c r="C33" s="91">
        <f>Financials!F19</f>
        <v>0.2</v>
      </c>
      <c r="D33" s="91">
        <f>Financials!G19</f>
        <v>0.2</v>
      </c>
      <c r="E33" s="91">
        <f>Financials!H19</f>
        <v>0.2</v>
      </c>
      <c r="F33" s="91">
        <f>Financials!I19</f>
        <v>0.2</v>
      </c>
      <c r="G33" s="91">
        <f>Financials!J19</f>
        <v>0.2</v>
      </c>
      <c r="H33" s="91">
        <f>Financials!K19</f>
        <v>0.2</v>
      </c>
      <c r="I33" s="91">
        <f>Financials!L19</f>
        <v>0.2</v>
      </c>
      <c r="J33" s="91">
        <f>Financials!M19</f>
        <v>0.2</v>
      </c>
      <c r="K33" s="91">
        <f>Financials!N19</f>
        <v>0.2</v>
      </c>
      <c r="L33" s="91">
        <f>Financials!O19</f>
        <v>0.2</v>
      </c>
      <c r="M33" s="91">
        <f>Financials!P19</f>
        <v>0.2</v>
      </c>
      <c r="N33" s="91">
        <f>Financials!Q19</f>
        <v>0.2</v>
      </c>
      <c r="O33" s="91">
        <f>Financials!R19</f>
        <v>0.2</v>
      </c>
    </row>
    <row r="35" spans="2:15" x14ac:dyDescent="0.35">
      <c r="B35" s="86" t="s">
        <v>166</v>
      </c>
      <c r="C35" s="87">
        <f>C28-C32</f>
        <v>416.8</v>
      </c>
      <c r="D35" s="87">
        <f t="shared" ref="D35:O35" si="7">D28-D32</f>
        <v>313.60000000000002</v>
      </c>
      <c r="E35" s="87">
        <f t="shared" si="7"/>
        <v>616.79999999999984</v>
      </c>
      <c r="F35" s="87">
        <f t="shared" ca="1" si="7"/>
        <v>1096.4407380479993</v>
      </c>
      <c r="G35" s="87">
        <f t="shared" ca="1" si="7"/>
        <v>1681.7278254335993</v>
      </c>
      <c r="H35" s="87">
        <f t="shared" ca="1" si="7"/>
        <v>2358.8003252851195</v>
      </c>
      <c r="I35" s="87">
        <f t="shared" ca="1" si="7"/>
        <v>3093.2983726617595</v>
      </c>
      <c r="J35" s="87">
        <f t="shared" si="7"/>
        <v>3830.0930928453881</v>
      </c>
      <c r="K35" s="87">
        <f t="shared" ca="1" si="7"/>
        <v>4636.5288158159174</v>
      </c>
      <c r="L35" s="87">
        <f t="shared" ca="1" si="7"/>
        <v>5484.6166290379424</v>
      </c>
      <c r="M35" s="87">
        <f t="shared" ca="1" si="7"/>
        <v>6336.2473655621925</v>
      </c>
      <c r="N35" s="87">
        <f t="shared" ca="1" si="7"/>
        <v>7144.9941182933599</v>
      </c>
      <c r="O35" s="87">
        <f t="shared" ca="1" si="7"/>
        <v>7859.493530122696</v>
      </c>
    </row>
    <row r="36" spans="2:15" x14ac:dyDescent="0.35">
      <c r="B36" s="88" t="s">
        <v>136</v>
      </c>
      <c r="C36" s="89">
        <f>C35/C17</f>
        <v>0.40426770126091177</v>
      </c>
      <c r="D36" s="89">
        <f t="shared" ref="D36:O36" si="8">D35/D17</f>
        <v>0.17249724972497252</v>
      </c>
      <c r="E36" s="89">
        <f t="shared" si="8"/>
        <v>0.23153153153153147</v>
      </c>
      <c r="F36" s="89">
        <f t="shared" ca="1" si="8"/>
        <v>0.29378621041702097</v>
      </c>
      <c r="G36" s="89">
        <f t="shared" ca="1" si="8"/>
        <v>0.33378605251360388</v>
      </c>
      <c r="H36" s="89">
        <f t="shared" ca="1" si="8"/>
        <v>0.36013083016236896</v>
      </c>
      <c r="I36" s="89">
        <f t="shared" ca="1" si="8"/>
        <v>0.3778165023788288</v>
      </c>
      <c r="J36" s="89">
        <f t="shared" si="8"/>
        <v>0.38984071417994748</v>
      </c>
      <c r="K36" s="89">
        <f t="shared" ca="1" si="8"/>
        <v>0.39993445418655987</v>
      </c>
      <c r="L36" s="89">
        <f t="shared" ca="1" si="8"/>
        <v>0.40783467120594824</v>
      </c>
      <c r="M36" s="89">
        <f t="shared" ca="1" si="8"/>
        <v>0.4132997474343833</v>
      </c>
      <c r="N36" s="89">
        <f t="shared" ca="1" si="8"/>
        <v>0.41611835136505743</v>
      </c>
      <c r="O36" s="89">
        <f t="shared" ca="1" si="8"/>
        <v>0.41611835136505737</v>
      </c>
    </row>
    <row r="37" spans="2:15" x14ac:dyDescent="0.35">
      <c r="B37" s="88" t="s">
        <v>135</v>
      </c>
      <c r="C37" s="89">
        <f>IFERROR(C35/B35-1,0)</f>
        <v>0</v>
      </c>
      <c r="D37" s="89">
        <f t="shared" ref="D37:O37" si="9">IFERROR(D35/C35-1,0)</f>
        <v>-0.24760076775431861</v>
      </c>
      <c r="E37" s="89">
        <f t="shared" si="9"/>
        <v>0.96683673469387688</v>
      </c>
      <c r="F37" s="89">
        <f t="shared" ca="1" si="9"/>
        <v>0.7776276557198436</v>
      </c>
      <c r="G37" s="89">
        <f t="shared" ca="1" si="9"/>
        <v>0.5338064038258834</v>
      </c>
      <c r="H37" s="89">
        <f t="shared" ca="1" si="9"/>
        <v>0.40260527869719387</v>
      </c>
      <c r="I37" s="89">
        <f t="shared" ca="1" si="9"/>
        <v>0.3113862752617087</v>
      </c>
      <c r="J37" s="89">
        <f t="shared" ca="1" si="9"/>
        <v>0.23819064035184634</v>
      </c>
      <c r="K37" s="89">
        <f t="shared" ca="1" si="9"/>
        <v>0.21055251228147709</v>
      </c>
      <c r="L37" s="89">
        <f t="shared" ca="1" si="9"/>
        <v>0.18291438421110762</v>
      </c>
      <c r="M37" s="89">
        <f t="shared" ca="1" si="9"/>
        <v>0.15527625614073859</v>
      </c>
      <c r="N37" s="89">
        <f t="shared" ca="1" si="9"/>
        <v>0.12763812807036934</v>
      </c>
      <c r="O37" s="89">
        <f t="shared" ca="1" si="9"/>
        <v>0.10000000000000009</v>
      </c>
    </row>
    <row r="39" spans="2:15" x14ac:dyDescent="0.35">
      <c r="B39" s="86" t="s">
        <v>162</v>
      </c>
      <c r="C39" s="84" t="s">
        <v>65</v>
      </c>
      <c r="D39" s="84" t="s">
        <v>65</v>
      </c>
      <c r="E39" s="84" t="s">
        <v>65</v>
      </c>
      <c r="F39" s="90">
        <f>F24</f>
        <v>113</v>
      </c>
      <c r="G39" s="90">
        <f t="shared" ref="G39:O39" si="10">G24</f>
        <v>113</v>
      </c>
      <c r="H39" s="90">
        <f t="shared" si="10"/>
        <v>113</v>
      </c>
      <c r="I39" s="90">
        <f t="shared" si="10"/>
        <v>113</v>
      </c>
      <c r="J39" s="90">
        <f t="shared" si="10"/>
        <v>113</v>
      </c>
      <c r="K39" s="90">
        <f t="shared" si="10"/>
        <v>113</v>
      </c>
      <c r="L39" s="90">
        <f t="shared" si="10"/>
        <v>113</v>
      </c>
      <c r="M39" s="90">
        <f t="shared" si="10"/>
        <v>113</v>
      </c>
      <c r="N39" s="90">
        <f t="shared" si="10"/>
        <v>113</v>
      </c>
      <c r="O39" s="90">
        <f t="shared" si="10"/>
        <v>113</v>
      </c>
    </row>
    <row r="41" spans="2:15" x14ac:dyDescent="0.35">
      <c r="B41" s="86" t="s">
        <v>142</v>
      </c>
      <c r="C41" s="92">
        <f>Financials!F29</f>
        <v>-9</v>
      </c>
      <c r="D41" s="92">
        <f>Financials!G29</f>
        <v>-33</v>
      </c>
      <c r="E41" s="92">
        <f>Financials!H29</f>
        <v>-42</v>
      </c>
      <c r="F41" s="92">
        <f ca="1">Financials!I29</f>
        <v>-31.824770198166476</v>
      </c>
      <c r="G41" s="92">
        <f ca="1">Financials!J29</f>
        <v>-42.616367984027669</v>
      </c>
      <c r="H41" s="92">
        <f ca="1">Financials!K29</f>
        <v>-54.948169174523542</v>
      </c>
      <c r="I41" s="92">
        <f ca="1">Financials!L29</f>
        <v>-68.116430104556102</v>
      </c>
      <c r="J41" s="92">
        <f>Financials!M29</f>
        <v>-81.054304659899998</v>
      </c>
      <c r="K41" s="92">
        <f ca="1">Financials!N29</f>
        <v>-95.064418410811157</v>
      </c>
      <c r="L41" s="92">
        <f ca="1">Financials!O29</f>
        <v>-109.6023184946108</v>
      </c>
      <c r="M41" s="92">
        <f ca="1">Financials!P29</f>
        <v>-124.18009926125599</v>
      </c>
      <c r="N41" s="92">
        <f ca="1">Financials!Q29</f>
        <v>-138.22318209129435</v>
      </c>
      <c r="O41" s="92">
        <f ca="1">Financials!R29</f>
        <v>-151.10111831098021</v>
      </c>
    </row>
    <row r="42" spans="2:15" x14ac:dyDescent="0.35">
      <c r="B42" s="88" t="s">
        <v>143</v>
      </c>
      <c r="C42" s="89">
        <f>C41/C17</f>
        <v>-8.7293889427740058E-3</v>
      </c>
      <c r="D42" s="89">
        <f t="shared" ref="D42:O42" si="11">D41/D17</f>
        <v>-1.8151815181518153E-2</v>
      </c>
      <c r="E42" s="89">
        <f t="shared" si="11"/>
        <v>-1.5765765765765764E-2</v>
      </c>
      <c r="F42" s="89">
        <f t="shared" ca="1" si="11"/>
        <v>-8.5272995698401077E-3</v>
      </c>
      <c r="G42" s="89">
        <f t="shared" ca="1" si="11"/>
        <v>-8.4584134404674938E-3</v>
      </c>
      <c r="H42" s="89">
        <f t="shared" ca="1" si="11"/>
        <v>-8.3892348023699385E-3</v>
      </c>
      <c r="I42" s="89">
        <f t="shared" ca="1" si="11"/>
        <v>-8.3197636555474401E-3</v>
      </c>
      <c r="J42" s="89">
        <f t="shared" si="11"/>
        <v>-8.2500000000000021E-3</v>
      </c>
      <c r="K42" s="89">
        <f t="shared" ca="1" si="11"/>
        <v>-8.199999999999999E-3</v>
      </c>
      <c r="L42" s="89">
        <f t="shared" ca="1" si="11"/>
        <v>-8.1499999999999975E-3</v>
      </c>
      <c r="M42" s="89">
        <f t="shared" ca="1" si="11"/>
        <v>-8.0999999999999978E-3</v>
      </c>
      <c r="N42" s="89">
        <f t="shared" ca="1" si="11"/>
        <v>-8.0499999999999981E-3</v>
      </c>
      <c r="O42" s="89">
        <f t="shared" ca="1" si="11"/>
        <v>-8.0000000000000002E-3</v>
      </c>
    </row>
    <row r="43" spans="2:15" x14ac:dyDescent="0.35">
      <c r="B43" s="88" t="s">
        <v>167</v>
      </c>
      <c r="C43" s="89">
        <f>C41/C24</f>
        <v>-7.9646017699115043E-2</v>
      </c>
      <c r="D43" s="89">
        <f t="shared" ref="D43:O43" si="12">D41/D24</f>
        <v>-0.29203539823008851</v>
      </c>
      <c r="E43" s="89">
        <f t="shared" si="12"/>
        <v>-0.37168141592920356</v>
      </c>
      <c r="F43" s="89">
        <f t="shared" ca="1" si="12"/>
        <v>-0.28163513449704847</v>
      </c>
      <c r="G43" s="89">
        <f t="shared" ca="1" si="12"/>
        <v>-0.37713599985865193</v>
      </c>
      <c r="H43" s="89">
        <f t="shared" ca="1" si="12"/>
        <v>-0.48626698384534106</v>
      </c>
      <c r="I43" s="89">
        <f t="shared" ca="1" si="12"/>
        <v>-0.60280026641200091</v>
      </c>
      <c r="J43" s="89">
        <f t="shared" si="12"/>
        <v>-0.71729473150353984</v>
      </c>
      <c r="K43" s="89">
        <f t="shared" ca="1" si="12"/>
        <v>-0.84127803903372711</v>
      </c>
      <c r="L43" s="89">
        <f t="shared" ca="1" si="12"/>
        <v>-0.96993202207620177</v>
      </c>
      <c r="M43" s="89">
        <f t="shared" ca="1" si="12"/>
        <v>-1.0989389315155398</v>
      </c>
      <c r="N43" s="89">
        <f t="shared" ca="1" si="12"/>
        <v>-1.2232140008079146</v>
      </c>
      <c r="O43" s="89">
        <f t="shared" ca="1" si="12"/>
        <v>-1.3371780381502674</v>
      </c>
    </row>
    <row r="44" spans="2:15" x14ac:dyDescent="0.35">
      <c r="B44" s="93"/>
    </row>
    <row r="45" spans="2:15" x14ac:dyDescent="0.35">
      <c r="B45" s="86" t="s">
        <v>168</v>
      </c>
      <c r="C45" s="92">
        <f>Financials!F33</f>
        <v>36</v>
      </c>
      <c r="D45" s="92">
        <f>Financials!G33</f>
        <v>-81</v>
      </c>
      <c r="E45" s="92">
        <f>Financials!H33</f>
        <v>306</v>
      </c>
      <c r="F45" s="92">
        <f>Financials!I33</f>
        <v>18.6605208</v>
      </c>
      <c r="G45" s="92">
        <f>Financials!J33</f>
        <v>50.383406159999993</v>
      </c>
      <c r="H45" s="92">
        <f>Financials!K33</f>
        <v>98.247642011999986</v>
      </c>
      <c r="I45" s="92">
        <f>Financials!L33</f>
        <v>163.74607001999996</v>
      </c>
      <c r="J45" s="92">
        <f>Financials!M33</f>
        <v>245.61910502999996</v>
      </c>
      <c r="K45" s="92">
        <f ca="1">Financials!N33</f>
        <v>348.77912914259997</v>
      </c>
      <c r="L45" s="92">
        <f ca="1">Financials!O33</f>
        <v>467.36403305108399</v>
      </c>
      <c r="M45" s="92">
        <f ca="1">Financials!P33</f>
        <v>588.87868164436588</v>
      </c>
      <c r="N45" s="92">
        <f ca="1">Financials!Q33</f>
        <v>694.87684434035179</v>
      </c>
      <c r="O45" s="92">
        <f ca="1">Financials!R33</f>
        <v>764.36452877438694</v>
      </c>
    </row>
    <row r="46" spans="2:15" x14ac:dyDescent="0.35">
      <c r="B46" s="88" t="s">
        <v>143</v>
      </c>
      <c r="C46" s="89">
        <f>C45/C17</f>
        <v>3.4917555771096023E-2</v>
      </c>
      <c r="D46" s="89">
        <f t="shared" ref="D46:O46" si="13">D45/D17</f>
        <v>-4.4554455445544552E-2</v>
      </c>
      <c r="E46" s="89">
        <f t="shared" si="13"/>
        <v>0.11486486486486487</v>
      </c>
      <c r="F46" s="89">
        <f t="shared" si="13"/>
        <v>5.0000000000000001E-3</v>
      </c>
      <c r="G46" s="89">
        <f t="shared" si="13"/>
        <v>0.01</v>
      </c>
      <c r="H46" s="89">
        <f t="shared" si="13"/>
        <v>1.4999999999999999E-2</v>
      </c>
      <c r="I46" s="89">
        <f t="shared" si="13"/>
        <v>0.02</v>
      </c>
      <c r="J46" s="89">
        <f t="shared" si="13"/>
        <v>2.5000000000000001E-2</v>
      </c>
      <c r="K46" s="89">
        <f t="shared" ca="1" si="13"/>
        <v>3.0084745762711869E-2</v>
      </c>
      <c r="L46" s="89">
        <f t="shared" ca="1" si="13"/>
        <v>3.4753068381063713E-2</v>
      </c>
      <c r="M46" s="89">
        <f t="shared" ca="1" si="13"/>
        <v>3.841128610538621E-2</v>
      </c>
      <c r="N46" s="89">
        <f t="shared" ca="1" si="13"/>
        <v>4.0469033575317608E-2</v>
      </c>
      <c r="O46" s="89">
        <f t="shared" ca="1" si="13"/>
        <v>4.0469033575317601E-2</v>
      </c>
    </row>
    <row r="47" spans="2:15" x14ac:dyDescent="0.35">
      <c r="B47" s="93"/>
    </row>
    <row r="48" spans="2:15" x14ac:dyDescent="0.35">
      <c r="B48" s="94" t="s">
        <v>169</v>
      </c>
      <c r="C48" s="90">
        <f>C28+C24+C41+C45</f>
        <v>661</v>
      </c>
      <c r="D48" s="90">
        <f t="shared" ref="D48:O48" si="14">D28+D24+D41+D45</f>
        <v>391</v>
      </c>
      <c r="E48" s="90">
        <f t="shared" si="14"/>
        <v>1147.9999999999998</v>
      </c>
      <c r="F48" s="90">
        <f t="shared" ca="1" si="14"/>
        <v>1470.3866731618327</v>
      </c>
      <c r="G48" s="90">
        <f t="shared" ca="1" si="14"/>
        <v>2222.9268199679714</v>
      </c>
      <c r="H48" s="90">
        <f t="shared" ca="1" si="14"/>
        <v>3104.7998794438759</v>
      </c>
      <c r="I48" s="90">
        <f t="shared" ca="1" si="14"/>
        <v>4075.2526057426435</v>
      </c>
      <c r="J48" s="90">
        <f t="shared" si="14"/>
        <v>5065.1811664268362</v>
      </c>
      <c r="K48" s="90">
        <f t="shared" ca="1" si="14"/>
        <v>6162.3757305016852</v>
      </c>
      <c r="L48" s="90">
        <f t="shared" ca="1" si="14"/>
        <v>7326.5325008539021</v>
      </c>
      <c r="M48" s="90">
        <f t="shared" ca="1" si="14"/>
        <v>8498.0077893358502</v>
      </c>
      <c r="N48" s="90">
        <f t="shared" ca="1" si="14"/>
        <v>9600.8963101157569</v>
      </c>
      <c r="O48" s="90">
        <f t="shared" ca="1" si="14"/>
        <v>10550.630323116777</v>
      </c>
    </row>
    <row r="49" spans="2:18" x14ac:dyDescent="0.35">
      <c r="B49" s="95" t="s">
        <v>158</v>
      </c>
      <c r="C49" s="80"/>
      <c r="D49" s="80"/>
      <c r="E49" s="80"/>
      <c r="F49" s="96">
        <f ca="1">-F13*F48</f>
        <v>-1470.3866731618327</v>
      </c>
      <c r="G49" s="96">
        <f t="shared" ref="G49:O49" ca="1" si="15">-G13*G48</f>
        <v>0</v>
      </c>
      <c r="H49" s="96">
        <f t="shared" ca="1" si="15"/>
        <v>0</v>
      </c>
      <c r="I49" s="96">
        <f t="shared" ca="1" si="15"/>
        <v>0</v>
      </c>
      <c r="J49" s="96">
        <f t="shared" si="15"/>
        <v>0</v>
      </c>
      <c r="K49" s="96">
        <f t="shared" ca="1" si="15"/>
        <v>0</v>
      </c>
      <c r="L49" s="96">
        <f t="shared" ca="1" si="15"/>
        <v>0</v>
      </c>
      <c r="M49" s="96">
        <f t="shared" ca="1" si="15"/>
        <v>0</v>
      </c>
      <c r="N49" s="96">
        <f t="shared" ca="1" si="15"/>
        <v>0</v>
      </c>
      <c r="O49" s="96">
        <f t="shared" ca="1" si="15"/>
        <v>0</v>
      </c>
    </row>
    <row r="50" spans="2:18" x14ac:dyDescent="0.35">
      <c r="B50" s="94" t="s">
        <v>170</v>
      </c>
      <c r="C50" s="97"/>
      <c r="D50" s="97"/>
      <c r="E50" s="97"/>
      <c r="F50" s="98">
        <f ca="1">F48+F49</f>
        <v>0</v>
      </c>
      <c r="G50" s="87">
        <f t="shared" ref="G50:O50" ca="1" si="16">G48+G49</f>
        <v>2222.9268199679714</v>
      </c>
      <c r="H50" s="87">
        <f t="shared" ca="1" si="16"/>
        <v>3104.7998794438759</v>
      </c>
      <c r="I50" s="87">
        <f t="shared" ca="1" si="16"/>
        <v>4075.2526057426435</v>
      </c>
      <c r="J50" s="87">
        <f t="shared" si="16"/>
        <v>5065.1811664268362</v>
      </c>
      <c r="K50" s="87">
        <f t="shared" ca="1" si="16"/>
        <v>6162.3757305016852</v>
      </c>
      <c r="L50" s="87">
        <f t="shared" ca="1" si="16"/>
        <v>7326.5325008539021</v>
      </c>
      <c r="M50" s="87">
        <f t="shared" ca="1" si="16"/>
        <v>8498.0077893358502</v>
      </c>
      <c r="N50" s="87">
        <f t="shared" ca="1" si="16"/>
        <v>9600.8963101157569</v>
      </c>
      <c r="O50" s="87">
        <f t="shared" ca="1" si="16"/>
        <v>10550.630323116777</v>
      </c>
    </row>
    <row r="51" spans="2:18" x14ac:dyDescent="0.35">
      <c r="B51" s="99" t="s">
        <v>171</v>
      </c>
      <c r="C51" s="80"/>
      <c r="D51" s="80"/>
      <c r="E51" s="80"/>
      <c r="F51" s="96">
        <v>0</v>
      </c>
      <c r="G51" s="96">
        <f>F51+365</f>
        <v>365</v>
      </c>
      <c r="H51" s="96">
        <f t="shared" ref="H51:O51" si="17">G51+365</f>
        <v>730</v>
      </c>
      <c r="I51" s="96">
        <f t="shared" si="17"/>
        <v>1095</v>
      </c>
      <c r="J51" s="96">
        <f t="shared" si="17"/>
        <v>1460</v>
      </c>
      <c r="K51" s="96">
        <f t="shared" si="17"/>
        <v>1825</v>
      </c>
      <c r="L51" s="96">
        <f t="shared" si="17"/>
        <v>2190</v>
      </c>
      <c r="M51" s="96">
        <f t="shared" si="17"/>
        <v>2555</v>
      </c>
      <c r="N51" s="96">
        <f t="shared" si="17"/>
        <v>2920</v>
      </c>
      <c r="O51" s="96">
        <f t="shared" si="17"/>
        <v>3285</v>
      </c>
    </row>
    <row r="52" spans="2:18" x14ac:dyDescent="0.35">
      <c r="B52" s="99" t="s">
        <v>172</v>
      </c>
      <c r="C52" s="80"/>
      <c r="D52" s="80"/>
      <c r="E52" s="80"/>
      <c r="F52" s="96">
        <f>1/((1+$D$9))^(F51/365)</f>
        <v>1</v>
      </c>
      <c r="G52" s="96">
        <f t="shared" ref="G52:O52" si="18">1/((1+$D$9))^(G51/365)</f>
        <v>0.94339622641509424</v>
      </c>
      <c r="H52" s="96">
        <f t="shared" si="18"/>
        <v>0.88999644001423983</v>
      </c>
      <c r="I52" s="96">
        <f t="shared" si="18"/>
        <v>0.8396192830323016</v>
      </c>
      <c r="J52" s="96">
        <f t="shared" si="18"/>
        <v>0.79209366323802044</v>
      </c>
      <c r="K52" s="96">
        <f t="shared" si="18"/>
        <v>0.74725817286605689</v>
      </c>
      <c r="L52" s="96">
        <f t="shared" si="18"/>
        <v>0.70496054043967626</v>
      </c>
      <c r="M52" s="96">
        <f t="shared" si="18"/>
        <v>0.66505711362233599</v>
      </c>
      <c r="N52" s="96">
        <f t="shared" si="18"/>
        <v>0.62741237134182648</v>
      </c>
      <c r="O52" s="96">
        <f t="shared" si="18"/>
        <v>0.59189846353002495</v>
      </c>
    </row>
    <row r="53" spans="2:18" x14ac:dyDescent="0.35">
      <c r="B53" s="94" t="s">
        <v>224</v>
      </c>
      <c r="C53" s="97"/>
      <c r="D53" s="97"/>
      <c r="E53" s="97"/>
      <c r="F53" s="98">
        <f ca="1">F52*F48</f>
        <v>1470.3866731618327</v>
      </c>
      <c r="G53" s="98">
        <f t="shared" ref="G53:O53" ca="1" si="19">G52*G48</f>
        <v>2097.1007735546896</v>
      </c>
      <c r="H53" s="98">
        <f t="shared" ca="1" si="19"/>
        <v>2763.2608396616906</v>
      </c>
      <c r="I53" s="98">
        <f t="shared" ca="1" si="19"/>
        <v>3421.6606710091573</v>
      </c>
      <c r="J53" s="98">
        <f t="shared" si="19"/>
        <v>4012.0979050792621</v>
      </c>
      <c r="K53" s="98">
        <f t="shared" ca="1" si="19"/>
        <v>4604.8856288888219</v>
      </c>
      <c r="L53" s="98">
        <f t="shared" ca="1" si="19"/>
        <v>5164.9163113508193</v>
      </c>
      <c r="M53" s="98">
        <f t="shared" ca="1" si="19"/>
        <v>5651.6605319158289</v>
      </c>
      <c r="N53" s="98">
        <f t="shared" ca="1" si="19"/>
        <v>6023.7211209367188</v>
      </c>
      <c r="O53" s="98">
        <f t="shared" ca="1" si="19"/>
        <v>6244.9018775261111</v>
      </c>
    </row>
    <row r="55" spans="2:18" x14ac:dyDescent="0.35">
      <c r="B55" s="187" t="s">
        <v>173</v>
      </c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189"/>
    </row>
    <row r="56" spans="2:18" x14ac:dyDescent="0.35">
      <c r="B56" s="187" t="s">
        <v>190</v>
      </c>
      <c r="C56" s="188"/>
      <c r="D56" s="105">
        <f ca="1">O20*D8</f>
        <v>117892.40295184046</v>
      </c>
      <c r="E56" s="41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18" x14ac:dyDescent="0.35">
      <c r="B57" s="203" t="s">
        <v>189</v>
      </c>
      <c r="C57" s="203"/>
      <c r="D57" s="101">
        <f ca="1">O50*(1-D7)/(D9-D7)</f>
        <v>208902.48039771218</v>
      </c>
      <c r="E57"/>
      <c r="J57"/>
      <c r="K57"/>
      <c r="L57"/>
      <c r="M57"/>
      <c r="N57"/>
      <c r="O57"/>
      <c r="P57"/>
      <c r="Q57"/>
      <c r="R57"/>
    </row>
    <row r="58" spans="2:18" customFormat="1" ht="14.4" x14ac:dyDescent="0.3"/>
    <row r="59" spans="2:18" x14ac:dyDescent="0.35">
      <c r="B59" s="202" t="s">
        <v>174</v>
      </c>
      <c r="C59" s="202"/>
      <c r="D59" s="202"/>
      <c r="E59" s="202"/>
      <c r="F59" s="202"/>
      <c r="I59" s="202" t="s">
        <v>175</v>
      </c>
      <c r="J59" s="202"/>
      <c r="K59" s="202"/>
      <c r="L59" s="202"/>
      <c r="M59" s="202"/>
      <c r="N59" s="202"/>
      <c r="O59" s="202"/>
    </row>
    <row r="60" spans="2:18" x14ac:dyDescent="0.35">
      <c r="B60" s="211" t="s">
        <v>176</v>
      </c>
      <c r="C60" s="211"/>
      <c r="D60" s="211" t="s">
        <v>177</v>
      </c>
      <c r="E60" s="211"/>
      <c r="F60" s="100" t="s">
        <v>178</v>
      </c>
      <c r="I60" s="211" t="s">
        <v>176</v>
      </c>
      <c r="J60" s="211"/>
      <c r="K60" s="211"/>
      <c r="L60" s="211"/>
      <c r="M60" s="211" t="s">
        <v>177</v>
      </c>
      <c r="N60" s="211"/>
      <c r="O60" s="100" t="s">
        <v>178</v>
      </c>
    </row>
    <row r="61" spans="2:18" x14ac:dyDescent="0.35">
      <c r="B61" s="205" t="s">
        <v>179</v>
      </c>
      <c r="C61" s="206"/>
      <c r="D61" s="222">
        <f ca="1">SUMPRODUCT($F$50:$P$50,$F$52:$P$52)</f>
        <v>39984.205659923107</v>
      </c>
      <c r="E61" s="222"/>
      <c r="F61" s="103">
        <f ca="1">D61/$D$63</f>
        <v>0.24435255379742635</v>
      </c>
      <c r="I61" s="204" t="s">
        <v>179</v>
      </c>
      <c r="J61" s="204"/>
      <c r="K61" s="204"/>
      <c r="L61" s="204"/>
      <c r="M61" s="222">
        <f ca="1">SUMPRODUCT($F$50:$P$50,F52:P52)</f>
        <v>39984.205659923107</v>
      </c>
      <c r="N61" s="222"/>
      <c r="O61" s="103">
        <f ca="1">M61/M63</f>
        <v>0.35088836540626289</v>
      </c>
    </row>
    <row r="62" spans="2:18" x14ac:dyDescent="0.35">
      <c r="B62" s="205" t="s">
        <v>180</v>
      </c>
      <c r="C62" s="206"/>
      <c r="D62" s="215">
        <f ca="1">D57*O52</f>
        <v>123649.05717501699</v>
      </c>
      <c r="E62" s="204"/>
      <c r="F62" s="103">
        <f ca="1">D62/$D$63</f>
        <v>0.75564744620257362</v>
      </c>
      <c r="I62" s="204" t="s">
        <v>180</v>
      </c>
      <c r="J62" s="204"/>
      <c r="K62" s="204"/>
      <c r="L62" s="204"/>
      <c r="M62" s="215">
        <f ca="1">D56*N52</f>
        <v>73967.152099200364</v>
      </c>
      <c r="N62" s="204"/>
      <c r="O62" s="103">
        <f ca="1">M62/M63</f>
        <v>0.64911163459373711</v>
      </c>
    </row>
    <row r="63" spans="2:18" x14ac:dyDescent="0.35">
      <c r="B63" s="212" t="s">
        <v>181</v>
      </c>
      <c r="C63" s="213"/>
      <c r="D63" s="216">
        <f ca="1">SUM(D61,D62)</f>
        <v>163633.26283494011</v>
      </c>
      <c r="E63" s="217"/>
      <c r="F63" s="102">
        <f ca="1">SUM(F61,F62)</f>
        <v>1</v>
      </c>
      <c r="I63" s="224" t="s">
        <v>181</v>
      </c>
      <c r="J63" s="224"/>
      <c r="K63" s="224"/>
      <c r="L63" s="224"/>
      <c r="M63" s="223">
        <f ca="1">SUM(M61,M62)</f>
        <v>113951.35775912346</v>
      </c>
      <c r="N63" s="223"/>
      <c r="O63" s="106">
        <f ca="1">SUM(O61,O62)</f>
        <v>1</v>
      </c>
    </row>
    <row r="64" spans="2:18" x14ac:dyDescent="0.35">
      <c r="B64" s="205" t="s">
        <v>182</v>
      </c>
      <c r="C64" s="206"/>
      <c r="D64" s="215">
        <f>-'Assumptions '!D11</f>
        <v>-664</v>
      </c>
      <c r="E64" s="204"/>
      <c r="F64" s="80"/>
      <c r="I64" s="204" t="s">
        <v>182</v>
      </c>
      <c r="J64" s="204"/>
      <c r="K64" s="204"/>
      <c r="L64" s="204"/>
      <c r="M64" s="215">
        <f>D64</f>
        <v>-664</v>
      </c>
      <c r="N64" s="204"/>
      <c r="O64" s="80"/>
    </row>
    <row r="65" spans="2:18" x14ac:dyDescent="0.35">
      <c r="B65" s="212" t="s">
        <v>183</v>
      </c>
      <c r="C65" s="213"/>
      <c r="D65" s="216">
        <f ca="1">SUM(D63,D64)</f>
        <v>162969.26283494011</v>
      </c>
      <c r="E65" s="217"/>
      <c r="F65" s="80"/>
      <c r="I65" s="224" t="s">
        <v>183</v>
      </c>
      <c r="J65" s="224"/>
      <c r="K65" s="224"/>
      <c r="L65" s="224"/>
      <c r="M65" s="216">
        <f ca="1">M63+M64</f>
        <v>113287.35775912346</v>
      </c>
      <c r="N65" s="217"/>
      <c r="O65" s="80"/>
    </row>
    <row r="66" spans="2:18" x14ac:dyDescent="0.35">
      <c r="B66" s="205" t="s">
        <v>184</v>
      </c>
      <c r="C66" s="206"/>
      <c r="D66" s="215">
        <f>'Rough NOTES'!H7/'Rough NOTES'!H6</f>
        <v>946.94514816966876</v>
      </c>
      <c r="E66" s="204"/>
      <c r="F66" s="80"/>
      <c r="I66" s="204" t="s">
        <v>184</v>
      </c>
      <c r="J66" s="204"/>
      <c r="K66" s="204"/>
      <c r="L66" s="204"/>
      <c r="M66" s="215">
        <f>'Rough NOTES'!I7/'Rough NOTES'!H6</f>
        <v>658.26472980825099</v>
      </c>
      <c r="N66" s="204"/>
      <c r="O66" s="80"/>
    </row>
    <row r="67" spans="2:18" x14ac:dyDescent="0.35">
      <c r="B67" s="219" t="s">
        <v>185</v>
      </c>
      <c r="C67" s="220"/>
      <c r="D67" s="221">
        <f>D66/'Assumptions '!$D$8-1</f>
        <v>-0.37823693488531274</v>
      </c>
      <c r="E67" s="221"/>
      <c r="F67" s="107"/>
      <c r="I67" s="218" t="s">
        <v>185</v>
      </c>
      <c r="J67" s="218"/>
      <c r="K67" s="218"/>
      <c r="L67" s="218"/>
      <c r="M67" s="221">
        <f>M66/'Assumptions '!$D$8-1</f>
        <v>-0.56778415639642088</v>
      </c>
      <c r="N67" s="221"/>
      <c r="O67" s="80"/>
    </row>
    <row r="69" spans="2:18" x14ac:dyDescent="0.35">
      <c r="B69" s="187" t="s">
        <v>213</v>
      </c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9"/>
    </row>
    <row r="70" spans="2:18" hidden="1" x14ac:dyDescent="0.35"/>
    <row r="71" spans="2:18" hidden="1" x14ac:dyDescent="0.35">
      <c r="B71" s="205" t="s">
        <v>154</v>
      </c>
      <c r="C71" s="206"/>
      <c r="D71" s="108">
        <f>D7</f>
        <v>0.01</v>
      </c>
    </row>
    <row r="72" spans="2:18" hidden="1" x14ac:dyDescent="0.35">
      <c r="B72" s="205" t="s">
        <v>194</v>
      </c>
      <c r="C72" s="206"/>
      <c r="D72" s="109">
        <v>2.5000000000000001E-3</v>
      </c>
    </row>
    <row r="73" spans="2:18" hidden="1" x14ac:dyDescent="0.35">
      <c r="B73" s="204" t="s">
        <v>14</v>
      </c>
      <c r="C73" s="204"/>
      <c r="D73" s="108">
        <f>D9</f>
        <v>0.06</v>
      </c>
    </row>
    <row r="74" spans="2:18" hidden="1" x14ac:dyDescent="0.35">
      <c r="B74" s="204" t="s">
        <v>195</v>
      </c>
      <c r="C74" s="204"/>
      <c r="D74" s="109">
        <v>5.0000000000000001E-3</v>
      </c>
    </row>
    <row r="75" spans="2:18" hidden="1" x14ac:dyDescent="0.35">
      <c r="B75" s="204" t="s">
        <v>196</v>
      </c>
      <c r="C75" s="204"/>
      <c r="D75" s="110">
        <f>D8</f>
        <v>12</v>
      </c>
    </row>
    <row r="76" spans="2:18" hidden="1" x14ac:dyDescent="0.35">
      <c r="B76" s="204" t="s">
        <v>197</v>
      </c>
      <c r="C76" s="204"/>
      <c r="D76" s="111">
        <v>0.5</v>
      </c>
      <c r="E76"/>
    </row>
    <row r="77" spans="2:18" hidden="1" x14ac:dyDescent="0.35"/>
    <row r="78" spans="2:18" hidden="1" x14ac:dyDescent="0.35">
      <c r="B78" s="187" t="s">
        <v>198</v>
      </c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9"/>
    </row>
    <row r="79" spans="2:18" hidden="1" x14ac:dyDescent="0.35"/>
    <row r="80" spans="2:18" hidden="1" x14ac:dyDescent="0.35">
      <c r="B80" s="190" t="s">
        <v>203</v>
      </c>
      <c r="C80" s="190"/>
      <c r="D80" s="190"/>
      <c r="E80" s="190"/>
      <c r="F80" s="190"/>
      <c r="G80" s="190"/>
      <c r="I80" s="190" t="s">
        <v>202</v>
      </c>
      <c r="J80" s="190"/>
      <c r="K80" s="190"/>
      <c r="L80" s="190"/>
      <c r="M80" s="190"/>
      <c r="N80" s="190"/>
    </row>
    <row r="81" spans="2:18" hidden="1" x14ac:dyDescent="0.35">
      <c r="B81" s="112" t="s">
        <v>199</v>
      </c>
      <c r="C81" s="191" t="s">
        <v>200</v>
      </c>
      <c r="D81" s="192"/>
      <c r="E81" s="192"/>
      <c r="F81" s="192"/>
      <c r="G81" s="193"/>
      <c r="I81" s="112" t="s">
        <v>199</v>
      </c>
      <c r="J81" s="191" t="s">
        <v>200</v>
      </c>
      <c r="K81" s="192"/>
      <c r="L81" s="192"/>
      <c r="M81" s="192"/>
      <c r="N81" s="193"/>
    </row>
    <row r="82" spans="2:18" hidden="1" x14ac:dyDescent="0.35">
      <c r="B82" s="97"/>
      <c r="C82" s="109">
        <f>D82-$D$72</f>
        <v>4.9999999999999992E-3</v>
      </c>
      <c r="D82" s="109">
        <f>E82-$D$72</f>
        <v>7.4999999999999997E-3</v>
      </c>
      <c r="E82" s="115">
        <f>D71</f>
        <v>0.01</v>
      </c>
      <c r="F82" s="109">
        <f>E82+$D$72</f>
        <v>1.2500000000000001E-2</v>
      </c>
      <c r="G82" s="109">
        <f>F82+$D$72</f>
        <v>1.5000000000000001E-2</v>
      </c>
      <c r="I82" s="97"/>
      <c r="J82" s="109">
        <f>K82-$D$72</f>
        <v>4.9999999999999992E-3</v>
      </c>
      <c r="K82" s="109">
        <f>L82-$D$72</f>
        <v>7.4999999999999997E-3</v>
      </c>
      <c r="L82" s="115">
        <v>0.01</v>
      </c>
      <c r="M82" s="109">
        <f>L82+$D$72</f>
        <v>1.2500000000000001E-2</v>
      </c>
      <c r="N82" s="109">
        <f>M82+$D$72</f>
        <v>1.5000000000000001E-2</v>
      </c>
    </row>
    <row r="83" spans="2:18" hidden="1" x14ac:dyDescent="0.35">
      <c r="B83" s="113">
        <f>B84-$D$74</f>
        <v>0.05</v>
      </c>
      <c r="C83" s="107">
        <f ca="1">($K$20*$D$75)/($B$83-C82)</f>
        <v>1545509.6052719723</v>
      </c>
      <c r="D83" s="107">
        <f ca="1">($K$20*$D$75)/($B$83-D82)</f>
        <v>1636421.9349938529</v>
      </c>
      <c r="E83" s="107">
        <f t="shared" ref="E83:E84" ca="1" si="20">($K$20*$D$75)/(B83-$E$82)</f>
        <v>1738698.3059309688</v>
      </c>
      <c r="F83" s="107">
        <f ca="1">($K$20*$D$75)/($B$83-F82)</f>
        <v>1854611.5263263665</v>
      </c>
      <c r="G83" s="107">
        <f ca="1">($K$20*$D$75)/($B$83-G82)</f>
        <v>1987083.7782068213</v>
      </c>
      <c r="I83" s="113">
        <f>I84-$D$74</f>
        <v>0.05</v>
      </c>
      <c r="J83" s="107">
        <f ca="1">C83-('Assumptions '!$D$11)/'Assumptions '!$D$9*100</f>
        <v>1541652.2894824985</v>
      </c>
      <c r="K83" s="107">
        <f ca="1">D83-('Assumptions '!$D$11)/'Assumptions '!$D$9*100</f>
        <v>1632564.6192043792</v>
      </c>
      <c r="L83" s="107">
        <f ca="1">E83-('Assumptions '!$D$11)/'Assumptions '!$D$9*100</f>
        <v>1734840.9901414951</v>
      </c>
      <c r="M83" s="107">
        <f ca="1">F83-('Assumptions '!$D$11)/'Assumptions '!$D$9*100</f>
        <v>1850754.2105368928</v>
      </c>
      <c r="N83" s="107">
        <f ca="1">G83-('Assumptions '!$D$11)/'Assumptions '!$D$9*100</f>
        <v>1983226.4624173476</v>
      </c>
    </row>
    <row r="84" spans="2:18" hidden="1" x14ac:dyDescent="0.35">
      <c r="B84" s="113">
        <f>B85-$D$74</f>
        <v>5.5E-2</v>
      </c>
      <c r="C84" s="107">
        <f ca="1">($K$20*$D$75)/($B$84-C82)</f>
        <v>1390958.644744775</v>
      </c>
      <c r="D84" s="107">
        <f ca="1">($K$20*$D$75)/($B$84-D82)</f>
        <v>1464166.9944681842</v>
      </c>
      <c r="E84" s="107">
        <f t="shared" ca="1" si="20"/>
        <v>1545509.6052719725</v>
      </c>
      <c r="F84" s="107">
        <f ca="1">($K$20*$D$75)/($B$84-F82)</f>
        <v>1636421.9349938531</v>
      </c>
      <c r="G84" s="107">
        <f ca="1">($K$20*$D$75)/($B$84-G82)</f>
        <v>1738698.3059309688</v>
      </c>
      <c r="I84" s="113">
        <f>I85-$D$74</f>
        <v>5.5E-2</v>
      </c>
      <c r="J84" s="107">
        <f ca="1">C84-('Assumptions '!$D$11)/'Assumptions '!$D$9*100</f>
        <v>1387101.3289553013</v>
      </c>
      <c r="K84" s="107">
        <f ca="1">D84-('Assumptions '!$D$11)/'Assumptions '!$D$9*100</f>
        <v>1460309.6786787105</v>
      </c>
      <c r="L84" s="107">
        <f ca="1">E84-('Assumptions '!$D$11)/'Assumptions '!$D$9*100</f>
        <v>1541652.2894824988</v>
      </c>
      <c r="M84" s="107">
        <f ca="1">F84-('Assumptions '!$D$11)/'Assumptions '!$D$9*100</f>
        <v>1632564.6192043794</v>
      </c>
      <c r="N84" s="107">
        <f ca="1">G84-('Assumptions '!$D$11)/'Assumptions '!$D$9*100</f>
        <v>1734840.9901414951</v>
      </c>
    </row>
    <row r="85" spans="2:18" hidden="1" x14ac:dyDescent="0.35">
      <c r="B85" s="114">
        <f>$D$73</f>
        <v>0.06</v>
      </c>
      <c r="C85" s="119">
        <f ca="1">($K$20*$D$75)/($B$85-C82)</f>
        <v>1264507.8588588864</v>
      </c>
      <c r="D85" s="119">
        <f ca="1">($K$20*$D$75)/($B$85-D82)</f>
        <v>1324722.5188045478</v>
      </c>
      <c r="E85" s="120">
        <f ca="1">($K$20*$D$75)/(B85-$E$82)</f>
        <v>1390958.6447447753</v>
      </c>
      <c r="F85" s="119">
        <f ca="1">($K$20*$D$75)/($B$85-F82)</f>
        <v>1464166.9944681842</v>
      </c>
      <c r="G85" s="119">
        <f ca="1">($K$20*$D$75)/($B$85-G82)</f>
        <v>1545509.6052719725</v>
      </c>
      <c r="I85" s="114">
        <f>$D$73</f>
        <v>0.06</v>
      </c>
      <c r="J85" s="107">
        <f ca="1">C85-('Assumptions '!$D$11)/'Assumptions '!$D$9*100</f>
        <v>1260650.5430694127</v>
      </c>
      <c r="K85" s="107">
        <f ca="1">D85-('Assumptions '!$D$11)/'Assumptions '!$D$9*100</f>
        <v>1320865.2030150741</v>
      </c>
      <c r="L85" s="120">
        <f ca="1">E85-('Assumptions '!$D$11)/'Assumptions '!$D$9*100</f>
        <v>1387101.3289553015</v>
      </c>
      <c r="M85" s="107">
        <f ca="1">F85-('Assumptions '!$D$11)/'Assumptions '!$D$9*100</f>
        <v>1460309.6786787105</v>
      </c>
      <c r="N85" s="107">
        <f ca="1">G85-('Assumptions '!$D$11)/'Assumptions '!$D$9*100</f>
        <v>1541652.2894824988</v>
      </c>
    </row>
    <row r="86" spans="2:18" hidden="1" x14ac:dyDescent="0.35">
      <c r="B86" s="113">
        <f>B85+$D$74</f>
        <v>6.5000000000000002E-2</v>
      </c>
      <c r="C86" s="107">
        <f ca="1">($K$20*$D$75)/($B$86-C82)</f>
        <v>1159132.2039539791</v>
      </c>
      <c r="D86" s="107">
        <f ca="1">($K$20*$D$75)/($B$86-D82)</f>
        <v>1209529.2562998044</v>
      </c>
      <c r="E86" s="107">
        <f t="shared" ref="E86:E87" ca="1" si="21">($K$20*$D$75)/(B86-$E$82)</f>
        <v>1264507.8588588864</v>
      </c>
      <c r="F86" s="107">
        <f ca="1">($K$20*$D$75)/($B$86-F82)</f>
        <v>1324722.5188045476</v>
      </c>
      <c r="G86" s="107">
        <f ca="1">($K$20*$D$75)/($B$86-G82)</f>
        <v>1390958.644744775</v>
      </c>
      <c r="I86" s="113">
        <f>I85+$D$74</f>
        <v>6.5000000000000002E-2</v>
      </c>
      <c r="J86" s="107">
        <f ca="1">C86-('Assumptions '!$D$11)/'Assumptions '!$D$9*100</f>
        <v>1155274.8881645054</v>
      </c>
      <c r="K86" s="107">
        <f ca="1">D86-('Assumptions '!$D$11)/'Assumptions '!$D$9*100</f>
        <v>1205671.9405103307</v>
      </c>
      <c r="L86" s="107">
        <f ca="1">E86-('Assumptions '!$D$11)/'Assumptions '!$D$9*100</f>
        <v>1260650.5430694127</v>
      </c>
      <c r="M86" s="107">
        <f ca="1">F86-('Assumptions '!$D$11)/'Assumptions '!$D$9*100</f>
        <v>1320865.2030150739</v>
      </c>
      <c r="N86" s="107">
        <f ca="1">G86-('Assumptions '!$D$11)/'Assumptions '!$D$9*100</f>
        <v>1387101.3289553013</v>
      </c>
    </row>
    <row r="87" spans="2:18" hidden="1" x14ac:dyDescent="0.35">
      <c r="B87" s="118">
        <f>B86+$D$74</f>
        <v>7.0000000000000007E-2</v>
      </c>
      <c r="C87" s="107">
        <f ca="1">($K$20*$D$75)/($B$87-C82)</f>
        <v>1069968.1882652116</v>
      </c>
      <c r="D87" s="107">
        <f ca="1">($K$20*$D$75)/($B$87-D82)</f>
        <v>1112766.9157958201</v>
      </c>
      <c r="E87" s="107">
        <f t="shared" ca="1" si="21"/>
        <v>1159132.2039539791</v>
      </c>
      <c r="F87" s="107">
        <f ca="1">($K$20*$D$75)/($B$87-F82)</f>
        <v>1209529.2562998042</v>
      </c>
      <c r="G87" s="107">
        <f ca="1">($K$20*$D$75)/($B$87-G82)</f>
        <v>1264507.8588588862</v>
      </c>
      <c r="I87" s="113">
        <f>I86+$D$74</f>
        <v>7.0000000000000007E-2</v>
      </c>
      <c r="J87" s="107">
        <f ca="1">C87-('Assumptions '!$D$11)/'Assumptions '!$D$9*100</f>
        <v>1066110.8724757379</v>
      </c>
      <c r="K87" s="107">
        <f ca="1">D87-('Assumptions '!$D$11)/'Assumptions '!$D$9*100</f>
        <v>1108909.6000063464</v>
      </c>
      <c r="L87" s="107">
        <f ca="1">E87-('Assumptions '!$D$11)/'Assumptions '!$D$9*100</f>
        <v>1155274.8881645054</v>
      </c>
      <c r="M87" s="107">
        <f ca="1">F87-('Assumptions '!$D$11)/'Assumptions '!$D$9*100</f>
        <v>1205671.9405103305</v>
      </c>
      <c r="N87" s="107">
        <f ca="1">G87-('Assumptions '!$D$11)/'Assumptions '!$D$9*100</f>
        <v>1260650.5430694125</v>
      </c>
    </row>
    <row r="88" spans="2:18" hidden="1" x14ac:dyDescent="0.35">
      <c r="B88" s="194" t="s">
        <v>201</v>
      </c>
      <c r="C88" s="195"/>
      <c r="D88" s="195"/>
      <c r="E88" s="195"/>
      <c r="F88" s="195"/>
      <c r="G88" s="196"/>
      <c r="I88" s="194" t="s">
        <v>204</v>
      </c>
      <c r="J88" s="195"/>
      <c r="K88" s="195"/>
      <c r="L88" s="195"/>
      <c r="M88" s="195"/>
      <c r="N88" s="196"/>
    </row>
    <row r="89" spans="2:18" hidden="1" x14ac:dyDescent="0.35">
      <c r="B89"/>
      <c r="C89"/>
      <c r="D89"/>
      <c r="E89"/>
      <c r="F89"/>
      <c r="G89"/>
      <c r="I89"/>
      <c r="J89"/>
      <c r="K89"/>
      <c r="L89"/>
      <c r="M89"/>
      <c r="N89"/>
    </row>
    <row r="90" spans="2:18" hidden="1" x14ac:dyDescent="0.35">
      <c r="B90" s="187" t="s">
        <v>205</v>
      </c>
      <c r="C90" s="188"/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9"/>
    </row>
    <row r="91" spans="2:18" hidden="1" x14ac:dyDescent="0.35"/>
    <row r="92" spans="2:18" hidden="1" x14ac:dyDescent="0.35">
      <c r="B92" s="190" t="s">
        <v>203</v>
      </c>
      <c r="C92" s="190"/>
      <c r="D92" s="190"/>
      <c r="E92" s="190"/>
      <c r="F92" s="190"/>
      <c r="G92" s="190"/>
      <c r="I92" s="190" t="s">
        <v>208</v>
      </c>
      <c r="J92" s="190"/>
      <c r="K92" s="190"/>
      <c r="L92" s="190"/>
      <c r="M92" s="190"/>
      <c r="N92" s="190"/>
    </row>
    <row r="93" spans="2:18" hidden="1" x14ac:dyDescent="0.35">
      <c r="B93" s="112" t="s">
        <v>199</v>
      </c>
      <c r="C93" s="191" t="s">
        <v>206</v>
      </c>
      <c r="D93" s="192"/>
      <c r="E93" s="192"/>
      <c r="F93" s="192"/>
      <c r="G93" s="193"/>
      <c r="I93" s="112" t="s">
        <v>199</v>
      </c>
      <c r="J93" s="191" t="s">
        <v>206</v>
      </c>
      <c r="K93" s="192"/>
      <c r="L93" s="192"/>
      <c r="M93" s="192"/>
      <c r="N93" s="193"/>
    </row>
    <row r="94" spans="2:18" hidden="1" x14ac:dyDescent="0.35">
      <c r="B94" s="97"/>
      <c r="C94" s="121">
        <f>D94-D76</f>
        <v>11</v>
      </c>
      <c r="D94" s="121">
        <f>E94-D76</f>
        <v>11.5</v>
      </c>
      <c r="E94" s="100">
        <f>D75</f>
        <v>12</v>
      </c>
      <c r="F94" s="121">
        <f>E94+D76</f>
        <v>12.5</v>
      </c>
      <c r="G94" s="121">
        <f>F94+D76</f>
        <v>13</v>
      </c>
      <c r="I94" s="97"/>
      <c r="J94" s="121">
        <f>K94-K76</f>
        <v>12</v>
      </c>
      <c r="K94" s="121">
        <f>L94-K76</f>
        <v>12</v>
      </c>
      <c r="L94" s="122">
        <f>D75</f>
        <v>12</v>
      </c>
      <c r="M94" s="121">
        <f>L94+K76</f>
        <v>12</v>
      </c>
      <c r="N94" s="121">
        <f>M94+K76</f>
        <v>12</v>
      </c>
    </row>
    <row r="95" spans="2:18" hidden="1" x14ac:dyDescent="0.35">
      <c r="B95" s="113">
        <f>B96-$D$74</f>
        <v>0.05</v>
      </c>
      <c r="C95" s="107">
        <f t="shared" ref="C95:C96" si="22">$J$20*$C$94</f>
        <v>52663.780026624088</v>
      </c>
      <c r="D95" s="107">
        <f t="shared" ref="D95:D96" si="23">$J$20*$D$94</f>
        <v>55057.588209652458</v>
      </c>
      <c r="E95" s="107">
        <f t="shared" ref="E95:E96" si="24">$J$20*$E$94</f>
        <v>57451.396392680821</v>
      </c>
      <c r="F95" s="107">
        <f t="shared" ref="F95:F99" si="25">$J$20*$F$94</f>
        <v>59845.204575709191</v>
      </c>
      <c r="G95" s="107">
        <f t="shared" ref="G95:G99" si="26">$J$20*$G$94</f>
        <v>62239.012758737561</v>
      </c>
      <c r="I95" s="113">
        <f>I96-$D$74</f>
        <v>0.05</v>
      </c>
      <c r="J95" s="107">
        <f>C95-'Assumptions '!$D$11</f>
        <v>51999.780026624088</v>
      </c>
      <c r="K95" s="107">
        <f>D95-'Assumptions '!$D$11</f>
        <v>54393.588209652458</v>
      </c>
      <c r="L95" s="107">
        <f>E95-'Assumptions '!$D$11</f>
        <v>56787.396392680821</v>
      </c>
      <c r="M95" s="107">
        <f>F95-'Assumptions '!$D$11</f>
        <v>59181.204575709191</v>
      </c>
      <c r="N95" s="107">
        <f>G95-'Assumptions '!$D$11</f>
        <v>61575.012758737561</v>
      </c>
    </row>
    <row r="96" spans="2:18" hidden="1" x14ac:dyDescent="0.35">
      <c r="B96" s="113">
        <f>B97-$D$74</f>
        <v>5.5E-2</v>
      </c>
      <c r="C96" s="107">
        <f t="shared" si="22"/>
        <v>52663.780026624088</v>
      </c>
      <c r="D96" s="107">
        <f t="shared" si="23"/>
        <v>55057.588209652458</v>
      </c>
      <c r="E96" s="107">
        <f t="shared" si="24"/>
        <v>57451.396392680821</v>
      </c>
      <c r="F96" s="107">
        <f t="shared" si="25"/>
        <v>59845.204575709191</v>
      </c>
      <c r="G96" s="107">
        <f t="shared" si="26"/>
        <v>62239.012758737561</v>
      </c>
      <c r="I96" s="113">
        <f>I97-$D$74</f>
        <v>5.5E-2</v>
      </c>
      <c r="J96" s="107">
        <f>C96-'Assumptions '!$D$11</f>
        <v>51999.780026624088</v>
      </c>
      <c r="K96" s="107">
        <f>D96-'Assumptions '!$D$11</f>
        <v>54393.588209652458</v>
      </c>
      <c r="L96" s="107">
        <f>E96-'Assumptions '!$D$11</f>
        <v>56787.396392680821</v>
      </c>
      <c r="M96" s="107">
        <f>F96-'Assumptions '!$D$11</f>
        <v>59181.204575709191</v>
      </c>
      <c r="N96" s="107">
        <f>G96-'Assumptions '!$D$11</f>
        <v>61575.012758737561</v>
      </c>
    </row>
    <row r="97" spans="2:18" hidden="1" x14ac:dyDescent="0.35">
      <c r="B97" s="114">
        <f>$D$73</f>
        <v>0.06</v>
      </c>
      <c r="C97" s="107">
        <f>$J$20*$C$94</f>
        <v>52663.780026624088</v>
      </c>
      <c r="D97" s="107">
        <f>$J$20*$D$94</f>
        <v>55057.588209652458</v>
      </c>
      <c r="E97" s="120">
        <f>$J$20*$E$94</f>
        <v>57451.396392680821</v>
      </c>
      <c r="F97" s="107">
        <f>$J$20*$F$94</f>
        <v>59845.204575709191</v>
      </c>
      <c r="G97" s="107">
        <f>$J$20*$G$94</f>
        <v>62239.012758737561</v>
      </c>
      <c r="I97" s="114">
        <f>$D$73</f>
        <v>0.06</v>
      </c>
      <c r="J97" s="107">
        <f>C97-'Assumptions '!$D$11</f>
        <v>51999.780026624088</v>
      </c>
      <c r="K97" s="107">
        <f>D97-'Assumptions '!$D$11</f>
        <v>54393.588209652458</v>
      </c>
      <c r="L97" s="120">
        <f>E97-'Assumptions '!$D$11</f>
        <v>56787.396392680821</v>
      </c>
      <c r="M97" s="107">
        <f>F97-'Assumptions '!$D$11</f>
        <v>59181.204575709191</v>
      </c>
      <c r="N97" s="107">
        <f>G97-'Assumptions '!$D$11</f>
        <v>61575.012758737561</v>
      </c>
    </row>
    <row r="98" spans="2:18" hidden="1" x14ac:dyDescent="0.35">
      <c r="B98" s="113">
        <f>B97+$D$74</f>
        <v>6.5000000000000002E-2</v>
      </c>
      <c r="C98" s="107">
        <f t="shared" ref="C98:C99" si="27">$J$20*$C$94</f>
        <v>52663.780026624088</v>
      </c>
      <c r="D98" s="107">
        <f t="shared" ref="D98:D99" si="28">$J$20*$D$94</f>
        <v>55057.588209652458</v>
      </c>
      <c r="E98" s="107">
        <f t="shared" ref="E98:E99" si="29">$J$20*$E$94</f>
        <v>57451.396392680821</v>
      </c>
      <c r="F98" s="107">
        <f t="shared" si="25"/>
        <v>59845.204575709191</v>
      </c>
      <c r="G98" s="107">
        <f t="shared" si="26"/>
        <v>62239.012758737561</v>
      </c>
      <c r="I98" s="113">
        <f>I97+$D$74</f>
        <v>6.5000000000000002E-2</v>
      </c>
      <c r="J98" s="107">
        <f>C98-'Assumptions '!$D$11</f>
        <v>51999.780026624088</v>
      </c>
      <c r="K98" s="107">
        <f>D98-'Assumptions '!$D$11</f>
        <v>54393.588209652458</v>
      </c>
      <c r="L98" s="107">
        <f>E98-'Assumptions '!$D$11</f>
        <v>56787.396392680821</v>
      </c>
      <c r="M98" s="107">
        <f>F98-'Assumptions '!$D$11</f>
        <v>59181.204575709191</v>
      </c>
      <c r="N98" s="107">
        <f>G98-'Assumptions '!$D$11</f>
        <v>61575.012758737561</v>
      </c>
    </row>
    <row r="99" spans="2:18" hidden="1" x14ac:dyDescent="0.35">
      <c r="B99" s="113">
        <f>B98+$D$74</f>
        <v>7.0000000000000007E-2</v>
      </c>
      <c r="C99" s="107">
        <f t="shared" si="27"/>
        <v>52663.780026624088</v>
      </c>
      <c r="D99" s="107">
        <f t="shared" si="28"/>
        <v>55057.588209652458</v>
      </c>
      <c r="E99" s="107">
        <f t="shared" si="29"/>
        <v>57451.396392680821</v>
      </c>
      <c r="F99" s="107">
        <f t="shared" si="25"/>
        <v>59845.204575709191</v>
      </c>
      <c r="G99" s="107">
        <f t="shared" si="26"/>
        <v>62239.012758737561</v>
      </c>
      <c r="I99" s="113">
        <f>I98+$D$74</f>
        <v>7.0000000000000007E-2</v>
      </c>
      <c r="J99" s="107">
        <f>C99-'Assumptions '!$D$11</f>
        <v>51999.780026624088</v>
      </c>
      <c r="K99" s="107">
        <f>D99-'Assumptions '!$D$11</f>
        <v>54393.588209652458</v>
      </c>
      <c r="L99" s="107">
        <f>E99-'Assumptions '!$D$11</f>
        <v>56787.396392680821</v>
      </c>
      <c r="M99" s="107">
        <f>F99-'Assumptions '!$D$11</f>
        <v>59181.204575709191</v>
      </c>
      <c r="N99" s="107">
        <f>G99-'Assumptions '!$D$11</f>
        <v>61575.012758737561</v>
      </c>
    </row>
    <row r="100" spans="2:18" hidden="1" x14ac:dyDescent="0.35">
      <c r="B100" s="194" t="s">
        <v>207</v>
      </c>
      <c r="C100" s="195"/>
      <c r="D100" s="195"/>
      <c r="E100" s="195"/>
      <c r="F100" s="195"/>
      <c r="G100" s="196"/>
      <c r="I100" s="194" t="s">
        <v>209</v>
      </c>
      <c r="J100" s="195"/>
      <c r="K100" s="195"/>
      <c r="L100" s="195"/>
      <c r="M100" s="195"/>
      <c r="N100" s="196"/>
    </row>
    <row r="102" spans="2:18" x14ac:dyDescent="0.35">
      <c r="B102" s="232" t="s">
        <v>214</v>
      </c>
      <c r="C102" s="233"/>
      <c r="D102" s="124" t="s">
        <v>68</v>
      </c>
      <c r="E102" s="124" t="s">
        <v>215</v>
      </c>
    </row>
    <row r="103" spans="2:18" x14ac:dyDescent="0.35">
      <c r="B103" s="226" t="s">
        <v>216</v>
      </c>
      <c r="C103" s="226"/>
      <c r="D103" s="117">
        <f ca="1">SUMPRODUCT(F50:$O$50,$F$52:$O$52)</f>
        <v>39984.205659923107</v>
      </c>
      <c r="E103" s="103">
        <f ca="1">D103/D105</f>
        <v>0.24435255379742635</v>
      </c>
    </row>
    <row r="104" spans="2:18" x14ac:dyDescent="0.35">
      <c r="B104" s="234" t="s">
        <v>217</v>
      </c>
      <c r="C104" s="235"/>
      <c r="D104" s="107">
        <f ca="1">D57*O52</f>
        <v>123649.05717501699</v>
      </c>
      <c r="E104" s="103">
        <f ca="1">D104/D105</f>
        <v>0.75564744620257362</v>
      </c>
    </row>
    <row r="105" spans="2:18" x14ac:dyDescent="0.35">
      <c r="B105" s="225" t="s">
        <v>218</v>
      </c>
      <c r="C105" s="225"/>
      <c r="D105" s="119">
        <f ca="1">SUM(D103,D104)</f>
        <v>163633.26283494011</v>
      </c>
      <c r="E105" s="89">
        <f ca="1">SUM(E103,E104)</f>
        <v>1</v>
      </c>
    </row>
    <row r="106" spans="2:18" x14ac:dyDescent="0.35">
      <c r="B106" s="226" t="s">
        <v>219</v>
      </c>
      <c r="C106" s="226"/>
      <c r="D106" s="107">
        <f>D64</f>
        <v>-664</v>
      </c>
      <c r="E106" s="80"/>
    </row>
    <row r="107" spans="2:18" x14ac:dyDescent="0.35">
      <c r="B107" s="225" t="s">
        <v>220</v>
      </c>
      <c r="C107" s="225"/>
      <c r="D107" s="119">
        <f ca="1">SUM(D105,D106)</f>
        <v>162969.26283494011</v>
      </c>
      <c r="E107" s="99"/>
    </row>
    <row r="108" spans="2:18" x14ac:dyDescent="0.35">
      <c r="B108" s="225" t="s">
        <v>221</v>
      </c>
      <c r="C108" s="226"/>
      <c r="D108" s="107">
        <f>D66</f>
        <v>946.94514816966876</v>
      </c>
      <c r="E108" s="80"/>
    </row>
    <row r="109" spans="2:18" x14ac:dyDescent="0.35">
      <c r="B109" s="227" t="s">
        <v>222</v>
      </c>
      <c r="C109" s="228"/>
      <c r="D109" s="89">
        <f>D67</f>
        <v>-0.37823693488531274</v>
      </c>
      <c r="E109" s="99"/>
    </row>
    <row r="111" spans="2:18" x14ac:dyDescent="0.35">
      <c r="B111" s="187" t="s">
        <v>223</v>
      </c>
      <c r="C111" s="188"/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9"/>
    </row>
    <row r="113" spans="2:7" x14ac:dyDescent="0.35">
      <c r="B113"/>
      <c r="C113" s="229" t="s">
        <v>200</v>
      </c>
      <c r="D113" s="230"/>
      <c r="E113" s="230"/>
      <c r="F113" s="230"/>
      <c r="G113" s="231"/>
    </row>
    <row r="114" spans="2:7" x14ac:dyDescent="0.35">
      <c r="B114" s="116" t="s">
        <v>14</v>
      </c>
      <c r="C114" s="125">
        <f>'DCF Input'!C81</f>
        <v>4.9999999999999992E-3</v>
      </c>
      <c r="D114" s="125">
        <f>'DCF Input'!D81</f>
        <v>7.4999999999999997E-3</v>
      </c>
      <c r="E114" s="127">
        <f>'DCF Input'!E81</f>
        <v>0.01</v>
      </c>
      <c r="F114" s="125">
        <f>'DCF Input'!F81</f>
        <v>1.2500000000000001E-2</v>
      </c>
      <c r="G114" s="125">
        <f>'DCF Input'!G81</f>
        <v>1.5000000000000001E-2</v>
      </c>
    </row>
    <row r="115" spans="2:7" x14ac:dyDescent="0.35">
      <c r="B115" s="125">
        <f>'DCF Input'!I82</f>
        <v>0.05</v>
      </c>
      <c r="C115" s="123" t="str">
        <f ca="1">CONCATENATE(ROUND('DCF Input'!C82,)," / ",ROUND('DCF Input'!J82,0)," c ")</f>
        <v xml:space="preserve">1545510 / 1541652 c </v>
      </c>
      <c r="D115" s="123" t="str">
        <f ca="1">CONCATENATE(ROUND('DCF Input'!D82,)," / ",ROUND('DCF Input'!K82,0)," c ")</f>
        <v xml:space="preserve">1636422 / 1632565 c </v>
      </c>
      <c r="E115" s="123" t="str">
        <f ca="1">CONCATENATE(ROUND('DCF Input'!E82,)," / ",ROUND('DCF Input'!L82,0)," c ")</f>
        <v xml:space="preserve">1738698 / 1734841 c </v>
      </c>
      <c r="F115" s="123" t="str">
        <f ca="1">CONCATENATE(ROUND('DCF Input'!F82,)," / ",ROUND('DCF Input'!M82,0)," c ")</f>
        <v xml:space="preserve">1854612 / 1850754 c </v>
      </c>
      <c r="G115" s="123" t="str">
        <f ca="1">CONCATENATE(ROUND('DCF Input'!G82,)," / ",ROUND('DCF Input'!N82,0)," c ")</f>
        <v xml:space="preserve">1987084 / 1983226 c </v>
      </c>
    </row>
    <row r="116" spans="2:7" x14ac:dyDescent="0.35">
      <c r="B116" s="125">
        <f>'DCF Input'!I83</f>
        <v>5.5E-2</v>
      </c>
      <c r="C116" s="123" t="str">
        <f ca="1">CONCATENATE(ROUND('DCF Input'!C83,)," / ",ROUND('DCF Input'!J83,0)," c ")</f>
        <v xml:space="preserve">1390959 / 1387101 c </v>
      </c>
      <c r="D116" s="123" t="str">
        <f ca="1">CONCATENATE(ROUND('DCF Input'!D83,)," / ",ROUND('DCF Input'!K83,0)," c ")</f>
        <v xml:space="preserve">1464167 / 1460310 c </v>
      </c>
      <c r="E116" s="123" t="str">
        <f ca="1">CONCATENATE(ROUND('DCF Input'!E83,)," / ",ROUND('DCF Input'!L83,0)," c ")</f>
        <v xml:space="preserve">1545510 / 1541652 c </v>
      </c>
      <c r="F116" s="123" t="str">
        <f ca="1">CONCATENATE(ROUND('DCF Input'!F83,)," / ",ROUND('DCF Input'!M83,0)," c ")</f>
        <v xml:space="preserve">1636422 / 1632565 c </v>
      </c>
      <c r="G116" s="123" t="str">
        <f ca="1">CONCATENATE(ROUND('DCF Input'!G83,)," / ",ROUND('DCF Input'!N83,0)," c ")</f>
        <v xml:space="preserve">1738698 / 1734841 c </v>
      </c>
    </row>
    <row r="117" spans="2:7" x14ac:dyDescent="0.35">
      <c r="B117" s="127">
        <f>'DCF Input'!I84</f>
        <v>0.06</v>
      </c>
      <c r="C117" s="123" t="str">
        <f ca="1">CONCATENATE(ROUND('DCF Input'!C84,)," / ",ROUND('DCF Input'!J84,0)," c ")</f>
        <v xml:space="preserve">1264508 / 1260651 c </v>
      </c>
      <c r="D117" s="123" t="str">
        <f ca="1">CONCATENATE(ROUND('DCF Input'!D84,)," / ",ROUND('DCF Input'!K84,0)," c ")</f>
        <v xml:space="preserve">1324723 / 1320865 c </v>
      </c>
      <c r="E117" s="126" t="str">
        <f ca="1">CONCATENATE(ROUND('DCF Input'!E84,)," / ",ROUND('DCF Input'!L84,0)," c ")</f>
        <v xml:space="preserve">1390959 / 1387101 c </v>
      </c>
      <c r="F117" s="123" t="str">
        <f ca="1">CONCATENATE(ROUND('DCF Input'!F84,)," / ",ROUND('DCF Input'!M84,0)," c ")</f>
        <v xml:space="preserve">1464167 / 1460310 c </v>
      </c>
      <c r="G117" s="123" t="str">
        <f ca="1">CONCATENATE(ROUND('DCF Input'!G84,)," / ",ROUND('DCF Input'!N84,0)," c ")</f>
        <v xml:space="preserve">1545510 / 1541652 c </v>
      </c>
    </row>
    <row r="118" spans="2:7" x14ac:dyDescent="0.35">
      <c r="B118" s="125">
        <f>'DCF Input'!I85</f>
        <v>6.5000000000000002E-2</v>
      </c>
      <c r="C118" s="123" t="str">
        <f ca="1">CONCATENATE(ROUND('DCF Input'!C85,)," / ",ROUND('DCF Input'!J85,0)," c ")</f>
        <v xml:space="preserve">1159132 / 1155275 c </v>
      </c>
      <c r="D118" s="123" t="str">
        <f ca="1">CONCATENATE(ROUND('DCF Input'!D85,)," / ",ROUND('DCF Input'!K85,0)," c ")</f>
        <v xml:space="preserve">1209529 / 1205672 c </v>
      </c>
      <c r="E118" s="123" t="str">
        <f ca="1">CONCATENATE(ROUND('DCF Input'!E85,)," / ",ROUND('DCF Input'!L85,0)," c ")</f>
        <v xml:space="preserve">1264508 / 1260651 c </v>
      </c>
      <c r="F118" s="123" t="str">
        <f ca="1">CONCATENATE(ROUND('DCF Input'!F85,)," / ",ROUND('DCF Input'!M85,0)," c ")</f>
        <v xml:space="preserve">1324723 / 1320865 c </v>
      </c>
      <c r="G118" s="123" t="str">
        <f ca="1">CONCATENATE(ROUND('DCF Input'!G85,)," / ",ROUND('DCF Input'!N85,0)," c ")</f>
        <v xml:space="preserve">1390959 / 1387101 c </v>
      </c>
    </row>
    <row r="119" spans="2:7" x14ac:dyDescent="0.35">
      <c r="B119" s="125">
        <f>'DCF Input'!I86</f>
        <v>7.0000000000000007E-2</v>
      </c>
      <c r="C119" s="123" t="str">
        <f ca="1">CONCATENATE(ROUND('DCF Input'!C86,)," / ",ROUND('DCF Input'!J86,0)," c ")</f>
        <v xml:space="preserve">1069968 / 1066111 c </v>
      </c>
      <c r="D119" s="123" t="str">
        <f ca="1">CONCATENATE(ROUND('DCF Input'!D86,)," / ",ROUND('DCF Input'!K86,0)," c ")</f>
        <v xml:space="preserve">1112767 / 1108910 c </v>
      </c>
      <c r="E119" s="123" t="str">
        <f ca="1">CONCATENATE(ROUND('DCF Input'!E86,)," / ",ROUND('DCF Input'!L86,0)," c ")</f>
        <v xml:space="preserve">1159132 / 1155275 c </v>
      </c>
      <c r="F119" s="123" t="str">
        <f ca="1">CONCATENATE(ROUND('DCF Input'!F86,)," / ",ROUND('DCF Input'!M86,0)," c ")</f>
        <v xml:space="preserve">1209529 / 1205672 c </v>
      </c>
      <c r="G119" s="123" t="str">
        <f ca="1">CONCATENATE(ROUND('DCF Input'!G86,)," / ",ROUND('DCF Input'!N86,0)," c ")</f>
        <v xml:space="preserve">1264508 / 1260651 c </v>
      </c>
    </row>
  </sheetData>
  <mergeCells count="88">
    <mergeCell ref="B108:C108"/>
    <mergeCell ref="B109:C109"/>
    <mergeCell ref="B111:R111"/>
    <mergeCell ref="C113:G113"/>
    <mergeCell ref="B102:C102"/>
    <mergeCell ref="B103:C103"/>
    <mergeCell ref="B104:C104"/>
    <mergeCell ref="B105:C105"/>
    <mergeCell ref="B106:C106"/>
    <mergeCell ref="B107:C107"/>
    <mergeCell ref="B100:G100"/>
    <mergeCell ref="I100:N100"/>
    <mergeCell ref="B80:G80"/>
    <mergeCell ref="I80:N80"/>
    <mergeCell ref="C81:G81"/>
    <mergeCell ref="J81:N81"/>
    <mergeCell ref="B88:G88"/>
    <mergeCell ref="I88:N88"/>
    <mergeCell ref="B90:R90"/>
    <mergeCell ref="B92:G92"/>
    <mergeCell ref="I92:N92"/>
    <mergeCell ref="C93:G93"/>
    <mergeCell ref="J93:N93"/>
    <mergeCell ref="B66:C66"/>
    <mergeCell ref="D66:E66"/>
    <mergeCell ref="I66:L66"/>
    <mergeCell ref="M66:N66"/>
    <mergeCell ref="B78:R78"/>
    <mergeCell ref="B67:C67"/>
    <mergeCell ref="D67:E67"/>
    <mergeCell ref="I67:L67"/>
    <mergeCell ref="M67:N67"/>
    <mergeCell ref="B69:R69"/>
    <mergeCell ref="B71:C71"/>
    <mergeCell ref="B72:C72"/>
    <mergeCell ref="B73:C73"/>
    <mergeCell ref="B74:C74"/>
    <mergeCell ref="B75:C75"/>
    <mergeCell ref="B76:C76"/>
    <mergeCell ref="B64:C64"/>
    <mergeCell ref="D64:E64"/>
    <mergeCell ref="I64:L64"/>
    <mergeCell ref="M64:N64"/>
    <mergeCell ref="B65:C65"/>
    <mergeCell ref="D65:E65"/>
    <mergeCell ref="I65:L65"/>
    <mergeCell ref="M65:N65"/>
    <mergeCell ref="B62:C62"/>
    <mergeCell ref="D62:E62"/>
    <mergeCell ref="I62:L62"/>
    <mergeCell ref="M62:N62"/>
    <mergeCell ref="B63:C63"/>
    <mergeCell ref="D63:E63"/>
    <mergeCell ref="I63:L63"/>
    <mergeCell ref="M63:N63"/>
    <mergeCell ref="B11:R11"/>
    <mergeCell ref="P12:U14"/>
    <mergeCell ref="I59:O59"/>
    <mergeCell ref="B61:C61"/>
    <mergeCell ref="D61:E61"/>
    <mergeCell ref="I61:L61"/>
    <mergeCell ref="M61:N61"/>
    <mergeCell ref="B60:C60"/>
    <mergeCell ref="D60:E60"/>
    <mergeCell ref="I60:L60"/>
    <mergeCell ref="M60:N60"/>
    <mergeCell ref="B57:C57"/>
    <mergeCell ref="B59:F59"/>
    <mergeCell ref="B7:C7"/>
    <mergeCell ref="D7:E7"/>
    <mergeCell ref="F7:N7"/>
    <mergeCell ref="B8:C8"/>
    <mergeCell ref="D8:E8"/>
    <mergeCell ref="F8:N8"/>
    <mergeCell ref="C15:E15"/>
    <mergeCell ref="F15:J15"/>
    <mergeCell ref="K15:O15"/>
    <mergeCell ref="B55:R55"/>
    <mergeCell ref="B56:C56"/>
    <mergeCell ref="B9:C9"/>
    <mergeCell ref="D9:E9"/>
    <mergeCell ref="F9:N9"/>
    <mergeCell ref="B2:R2"/>
    <mergeCell ref="B4:R4"/>
    <mergeCell ref="B5:C5"/>
    <mergeCell ref="D5:E5"/>
    <mergeCell ref="B6:C6"/>
    <mergeCell ref="D6:E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507AC-365F-4CE1-8D93-28F2DDC57933}">
  <dimension ref="A1:S29"/>
  <sheetViews>
    <sheetView topLeftCell="A4" zoomScale="95" zoomScaleNormal="100" workbookViewId="0">
      <selection activeCell="G26" sqref="G26"/>
    </sheetView>
  </sheetViews>
  <sheetFormatPr defaultRowHeight="14.4" x14ac:dyDescent="0.3"/>
  <cols>
    <col min="7" max="7" width="38.33203125" customWidth="1"/>
    <col min="8" max="8" width="31.21875" customWidth="1"/>
    <col min="9" max="9" width="15.88671875" bestFit="1" customWidth="1"/>
  </cols>
  <sheetData>
    <row r="1" spans="1:19" x14ac:dyDescent="0.3">
      <c r="A1" s="128" t="s">
        <v>42</v>
      </c>
      <c r="B1" s="144"/>
      <c r="C1" s="144"/>
      <c r="D1" t="s">
        <v>115</v>
      </c>
      <c r="E1" t="s">
        <v>147</v>
      </c>
      <c r="G1" s="236" t="s">
        <v>151</v>
      </c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</row>
    <row r="2" spans="1:19" x14ac:dyDescent="0.3">
      <c r="A2" s="128" t="s">
        <v>49</v>
      </c>
      <c r="B2" s="128"/>
      <c r="C2" s="128"/>
      <c r="D2">
        <v>1031</v>
      </c>
      <c r="E2">
        <v>1818</v>
      </c>
      <c r="G2" s="15" t="s">
        <v>115</v>
      </c>
      <c r="H2" s="15" t="s">
        <v>106</v>
      </c>
      <c r="I2" s="15" t="s">
        <v>64</v>
      </c>
      <c r="J2" s="15" t="s">
        <v>52</v>
      </c>
      <c r="K2" s="15" t="s">
        <v>43</v>
      </c>
      <c r="L2" s="15" t="s">
        <v>44</v>
      </c>
      <c r="M2" s="15" t="s">
        <v>45</v>
      </c>
      <c r="N2" s="15" t="s">
        <v>53</v>
      </c>
      <c r="O2" s="15" t="s">
        <v>127</v>
      </c>
      <c r="P2" s="15" t="s">
        <v>128</v>
      </c>
      <c r="Q2" s="15" t="s">
        <v>129</v>
      </c>
      <c r="R2" s="15" t="s">
        <v>130</v>
      </c>
      <c r="S2" s="15" t="s">
        <v>131</v>
      </c>
    </row>
    <row r="3" spans="1:19" x14ac:dyDescent="0.3">
      <c r="A3" s="154" t="s">
        <v>46</v>
      </c>
      <c r="B3" s="154"/>
      <c r="C3" s="154"/>
      <c r="D3" s="70" t="s">
        <v>148</v>
      </c>
      <c r="G3" s="8">
        <v>-152</v>
      </c>
      <c r="H3" s="8">
        <v>780</v>
      </c>
      <c r="I3" s="8">
        <v>-389</v>
      </c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x14ac:dyDescent="0.3">
      <c r="A4" s="128" t="s">
        <v>50</v>
      </c>
      <c r="B4" s="128"/>
      <c r="C4" s="128"/>
      <c r="D4">
        <f>'Company Financial Forecasts'!O13</f>
        <v>692.33</v>
      </c>
      <c r="E4">
        <f>'Company Financial Forecasts'!N13</f>
        <v>1039.8</v>
      </c>
      <c r="G4" s="69" t="str">
        <f>IF(ISERROR((G3-F3)/F3), "Nil", ((G3-F3)/F3))</f>
        <v>Nil</v>
      </c>
      <c r="H4" s="69">
        <f t="shared" ref="H4:I4" si="0">IF(ISERROR((H3-G3)/G3), "Nil", ((H3-G3)/G3))</f>
        <v>-6.1315789473684212</v>
      </c>
      <c r="I4" s="69">
        <f t="shared" si="0"/>
        <v>-1.4987179487179487</v>
      </c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x14ac:dyDescent="0.3">
      <c r="A5" s="144" t="s">
        <v>47</v>
      </c>
      <c r="B5" s="144"/>
      <c r="C5" s="144"/>
      <c r="D5" s="57">
        <f>D4/D2</f>
        <v>0.6715130940834142</v>
      </c>
      <c r="E5" s="57">
        <f>E4/E2</f>
        <v>0.57194719471947197</v>
      </c>
    </row>
    <row r="6" spans="1:19" x14ac:dyDescent="0.3">
      <c r="A6" s="128" t="s">
        <v>67</v>
      </c>
      <c r="B6" s="128"/>
      <c r="C6" s="128"/>
      <c r="D6">
        <f>D4-D7</f>
        <v>171.33000000000004</v>
      </c>
      <c r="E6">
        <f>E4-E7</f>
        <v>647.79999999999995</v>
      </c>
      <c r="G6" t="s">
        <v>191</v>
      </c>
      <c r="H6" s="104">
        <v>172100000</v>
      </c>
    </row>
    <row r="7" spans="1:19" x14ac:dyDescent="0.3">
      <c r="A7" s="128" t="s">
        <v>110</v>
      </c>
      <c r="B7" s="128"/>
      <c r="C7" s="128"/>
      <c r="D7">
        <v>521</v>
      </c>
      <c r="E7">
        <v>392</v>
      </c>
      <c r="G7" t="s">
        <v>192</v>
      </c>
      <c r="H7" s="104">
        <v>162969260000</v>
      </c>
      <c r="I7" s="104">
        <v>113287360000</v>
      </c>
    </row>
    <row r="8" spans="1:19" x14ac:dyDescent="0.3">
      <c r="A8" s="145" t="s">
        <v>48</v>
      </c>
      <c r="B8" s="145"/>
      <c r="C8" s="145"/>
    </row>
    <row r="9" spans="1:19" x14ac:dyDescent="0.3">
      <c r="A9" s="128" t="s">
        <v>74</v>
      </c>
      <c r="B9" s="128"/>
      <c r="C9" s="128"/>
      <c r="D9">
        <v>61</v>
      </c>
      <c r="E9">
        <v>6</v>
      </c>
      <c r="G9" s="149"/>
      <c r="H9" s="149"/>
      <c r="I9" s="150"/>
      <c r="J9" s="15" t="s">
        <v>114</v>
      </c>
      <c r="K9" s="15" t="s">
        <v>115</v>
      </c>
      <c r="L9" s="15" t="s">
        <v>106</v>
      </c>
    </row>
    <row r="10" spans="1:19" x14ac:dyDescent="0.3">
      <c r="A10" s="128" t="s">
        <v>75</v>
      </c>
      <c r="B10" s="128"/>
      <c r="C10" s="128"/>
      <c r="D10">
        <v>113</v>
      </c>
      <c r="E10">
        <v>113</v>
      </c>
      <c r="G10" s="141" t="s">
        <v>112</v>
      </c>
      <c r="H10" s="142"/>
      <c r="I10" s="143"/>
      <c r="J10" s="15">
        <f>H23</f>
        <v>28</v>
      </c>
      <c r="K10" s="15">
        <f t="shared" ref="K10:L10" si="1">I23</f>
        <v>64</v>
      </c>
      <c r="L10" s="15">
        <f t="shared" si="1"/>
        <v>-17</v>
      </c>
      <c r="M10">
        <v>289</v>
      </c>
    </row>
    <row r="11" spans="1:19" x14ac:dyDescent="0.3">
      <c r="A11" s="138" t="s">
        <v>76</v>
      </c>
      <c r="B11" s="139"/>
      <c r="C11" s="140"/>
      <c r="D11">
        <f>D7-D9-D10</f>
        <v>347</v>
      </c>
      <c r="E11">
        <f>E7-E9-E10</f>
        <v>273</v>
      </c>
      <c r="G11" s="144" t="s">
        <v>111</v>
      </c>
      <c r="H11" s="144"/>
      <c r="I11" s="144"/>
      <c r="J11" s="28" t="str">
        <f>IF(ISERROR(J10-G11), "Nil", J10-G10)</f>
        <v>Nil</v>
      </c>
      <c r="K11" s="28">
        <f>K10-J10</f>
        <v>36</v>
      </c>
      <c r="L11" s="28">
        <f>L10-K10</f>
        <v>-81</v>
      </c>
    </row>
    <row r="12" spans="1:19" x14ac:dyDescent="0.3">
      <c r="A12" s="146" t="s">
        <v>77</v>
      </c>
      <c r="B12" s="147"/>
      <c r="C12" s="148"/>
      <c r="D12">
        <f>D9</f>
        <v>61</v>
      </c>
      <c r="E12">
        <f>E9</f>
        <v>6</v>
      </c>
    </row>
    <row r="13" spans="1:19" x14ac:dyDescent="0.3">
      <c r="A13" s="146" t="s">
        <v>78</v>
      </c>
      <c r="B13" s="147"/>
      <c r="C13" s="148"/>
      <c r="D13">
        <f>D10</f>
        <v>113</v>
      </c>
      <c r="E13">
        <f>E10</f>
        <v>113</v>
      </c>
      <c r="G13" s="71" t="s">
        <v>85</v>
      </c>
      <c r="H13" s="6" t="s">
        <v>114</v>
      </c>
      <c r="I13" s="6" t="s">
        <v>115</v>
      </c>
      <c r="J13" s="6" t="s">
        <v>106</v>
      </c>
    </row>
    <row r="14" spans="1:19" x14ac:dyDescent="0.3">
      <c r="A14" s="138" t="s">
        <v>79</v>
      </c>
      <c r="B14" s="139"/>
      <c r="C14" s="140"/>
      <c r="D14">
        <f>D7+D13</f>
        <v>634</v>
      </c>
      <c r="E14">
        <f>E7+E13</f>
        <v>505</v>
      </c>
      <c r="G14" s="29" t="s">
        <v>96</v>
      </c>
      <c r="H14" s="78">
        <v>0</v>
      </c>
      <c r="I14" s="15">
        <v>0</v>
      </c>
      <c r="J14" s="15">
        <v>1</v>
      </c>
    </row>
    <row r="15" spans="1:19" x14ac:dyDescent="0.3">
      <c r="A15" s="138" t="s">
        <v>80</v>
      </c>
      <c r="B15" s="139"/>
      <c r="C15" s="140"/>
      <c r="G15" s="31" t="s">
        <v>86</v>
      </c>
      <c r="H15" s="15">
        <v>8</v>
      </c>
      <c r="I15" s="15">
        <v>11</v>
      </c>
      <c r="J15" s="15">
        <v>31</v>
      </c>
    </row>
    <row r="16" spans="1:19" x14ac:dyDescent="0.3">
      <c r="A16" s="145" t="s">
        <v>109</v>
      </c>
      <c r="B16" s="145"/>
      <c r="C16" s="145"/>
      <c r="G16" s="29" t="s">
        <v>95</v>
      </c>
      <c r="H16" s="15">
        <v>96</v>
      </c>
      <c r="I16" s="15">
        <v>161</v>
      </c>
      <c r="J16" s="15">
        <v>362</v>
      </c>
    </row>
    <row r="17" spans="1:10" x14ac:dyDescent="0.3">
      <c r="A17" s="141" t="s">
        <v>81</v>
      </c>
      <c r="B17" s="142"/>
      <c r="C17" s="143"/>
      <c r="G17" s="31" t="s">
        <v>97</v>
      </c>
      <c r="H17" s="15">
        <v>0</v>
      </c>
      <c r="I17" s="15">
        <v>0</v>
      </c>
      <c r="J17" s="15">
        <v>0</v>
      </c>
    </row>
    <row r="18" spans="1:10" x14ac:dyDescent="0.3">
      <c r="A18" s="144" t="s">
        <v>74</v>
      </c>
      <c r="B18" s="144"/>
      <c r="C18" s="144"/>
      <c r="G18" s="17" t="s">
        <v>98</v>
      </c>
      <c r="H18" s="6">
        <f>SUM(H14:H17)</f>
        <v>104</v>
      </c>
      <c r="I18" s="6">
        <f t="shared" ref="I18:J18" si="2">SUM(I14:I17)</f>
        <v>172</v>
      </c>
      <c r="J18" s="6">
        <f t="shared" si="2"/>
        <v>394</v>
      </c>
    </row>
    <row r="19" spans="1:10" x14ac:dyDescent="0.3">
      <c r="A19" s="141" t="s">
        <v>112</v>
      </c>
      <c r="B19" s="142"/>
      <c r="C19" s="143"/>
      <c r="G19" s="164" t="s">
        <v>99</v>
      </c>
      <c r="H19" s="164"/>
      <c r="I19" s="15"/>
      <c r="J19" s="15"/>
    </row>
    <row r="20" spans="1:10" x14ac:dyDescent="0.3">
      <c r="A20" s="144" t="s">
        <v>111</v>
      </c>
      <c r="B20" s="144"/>
      <c r="C20" s="144"/>
      <c r="G20" s="29" t="s">
        <v>87</v>
      </c>
      <c r="H20" s="15">
        <v>10</v>
      </c>
      <c r="I20" s="15">
        <v>22</v>
      </c>
      <c r="J20" s="15">
        <v>68</v>
      </c>
    </row>
    <row r="21" spans="1:10" x14ac:dyDescent="0.3">
      <c r="A21" s="145" t="s">
        <v>108</v>
      </c>
      <c r="B21" s="145"/>
      <c r="C21" s="145"/>
      <c r="G21" s="31" t="s">
        <v>100</v>
      </c>
      <c r="H21" s="15">
        <v>66</v>
      </c>
      <c r="I21" s="15">
        <v>86</v>
      </c>
      <c r="J21" s="15">
        <v>343</v>
      </c>
    </row>
    <row r="22" spans="1:10" x14ac:dyDescent="0.3">
      <c r="A22" s="144" t="s">
        <v>83</v>
      </c>
      <c r="B22" s="144"/>
      <c r="C22" s="144"/>
      <c r="G22" s="17" t="s">
        <v>101</v>
      </c>
      <c r="H22" s="6">
        <f>SUM(H20:H21)</f>
        <v>76</v>
      </c>
      <c r="I22" s="6">
        <f t="shared" ref="I22:J22" si="3">SUM(I20:I21)</f>
        <v>108</v>
      </c>
      <c r="J22" s="6">
        <f t="shared" si="3"/>
        <v>411</v>
      </c>
    </row>
    <row r="23" spans="1:10" x14ac:dyDescent="0.3">
      <c r="A23" s="144" t="s">
        <v>84</v>
      </c>
      <c r="B23" s="144"/>
      <c r="C23" s="144"/>
      <c r="G23" s="30" t="s">
        <v>82</v>
      </c>
      <c r="H23" s="6">
        <f>H18-H22</f>
        <v>28</v>
      </c>
      <c r="I23" s="6">
        <f t="shared" ref="I23:J23" si="4">I18-I22</f>
        <v>64</v>
      </c>
      <c r="J23" s="6">
        <f t="shared" si="4"/>
        <v>-17</v>
      </c>
    </row>
    <row r="24" spans="1:10" x14ac:dyDescent="0.3">
      <c r="A24" s="138" t="s">
        <v>88</v>
      </c>
      <c r="B24" s="139"/>
      <c r="C24" s="140"/>
    </row>
    <row r="25" spans="1:10" x14ac:dyDescent="0.3">
      <c r="A25" s="138" t="s">
        <v>89</v>
      </c>
      <c r="B25" s="139"/>
      <c r="C25" s="140"/>
    </row>
    <row r="27" spans="1:10" x14ac:dyDescent="0.3">
      <c r="A27" s="145" t="s">
        <v>90</v>
      </c>
      <c r="B27" s="145"/>
      <c r="C27" s="145"/>
    </row>
    <row r="28" spans="1:10" x14ac:dyDescent="0.3">
      <c r="A28" s="145" t="s">
        <v>91</v>
      </c>
      <c r="B28" s="145"/>
      <c r="C28" s="145"/>
    </row>
    <row r="29" spans="1:10" x14ac:dyDescent="0.3">
      <c r="A29" s="138" t="s">
        <v>92</v>
      </c>
      <c r="B29" s="139"/>
      <c r="C29" s="140"/>
    </row>
  </sheetData>
  <mergeCells count="33">
    <mergeCell ref="G11:I11"/>
    <mergeCell ref="G9:I9"/>
    <mergeCell ref="G19:H19"/>
    <mergeCell ref="G1:S1"/>
    <mergeCell ref="G10:I10"/>
    <mergeCell ref="A25:C25"/>
    <mergeCell ref="A27:C27"/>
    <mergeCell ref="A28:C28"/>
    <mergeCell ref="A29:C29"/>
    <mergeCell ref="A19:C19"/>
    <mergeCell ref="A20:C20"/>
    <mergeCell ref="A21:C21"/>
    <mergeCell ref="A22:C22"/>
    <mergeCell ref="A23:C23"/>
    <mergeCell ref="A24:C24"/>
    <mergeCell ref="A18:C18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6:C6"/>
    <mergeCell ref="A1:C1"/>
    <mergeCell ref="A2:C2"/>
    <mergeCell ref="A3:C3"/>
    <mergeCell ref="A4:C4"/>
    <mergeCell ref="A5:C5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INPUTS AND ASSUMPTIONS</vt:lpstr>
      <vt:lpstr>Cover Sheet</vt:lpstr>
      <vt:lpstr>Assumptions </vt:lpstr>
      <vt:lpstr>Company Financial Forecasts</vt:lpstr>
      <vt:lpstr>Financials</vt:lpstr>
      <vt:lpstr>DCF Input</vt:lpstr>
      <vt:lpstr>DCF Output</vt:lpstr>
      <vt:lpstr>Rough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Arsh 1926</dc:creator>
  <cp:lastModifiedBy>Arsh 1926</cp:lastModifiedBy>
  <dcterms:created xsi:type="dcterms:W3CDTF">2025-10-13T19:40:13Z</dcterms:created>
  <dcterms:modified xsi:type="dcterms:W3CDTF">2025-12-22T20:08:20Z</dcterms:modified>
</cp:coreProperties>
</file>